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revisions/revisionLog1121.xml" ContentType="application/vnd.openxmlformats-officedocument.spreadsheetml.revisionLog+xml"/>
  <Override PartName="/xl/revisions/revisionLog118.xml" ContentType="application/vnd.openxmlformats-officedocument.spreadsheetml.revisionLog+xml"/>
  <Override PartName="/xl/revisions/revisionLog1321111.xml" ContentType="application/vnd.openxmlformats-officedocument.spreadsheetml.revisionLog+xml"/>
  <Override PartName="/xl/revisions/revisionLog12111.xml" ContentType="application/vnd.openxmlformats-officedocument.spreadsheetml.revisionLog+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revisions/revisionLog114.xml" ContentType="application/vnd.openxmlformats-officedocument.spreadsheetml.revisionLog+xml"/>
  <Override PartName="/xl/revisions/revisionLog161.xml" ContentType="application/vnd.openxmlformats-officedocument.spreadsheetml.revisionLog+xml"/>
  <Override PartName="/xl/revisions/revisionLog11211.xml" ContentType="application/vnd.openxmlformats-officedocument.spreadsheetml.revisionLog+xml"/>
  <Override PartName="/xl/revisions/revisionLog1911.xml" ContentType="application/vnd.openxmlformats-officedocument.spreadsheetml.revisionLog+xml"/>
  <Default Extension="xml" ContentType="application/xml"/>
  <Override PartName="/xl/comments4.xml" ContentType="application/vnd.openxmlformats-officedocument.spreadsheetml.comments+xml"/>
  <Override PartName="/xl/drawings/drawing2.xml" ContentType="application/vnd.openxmlformats-officedocument.drawing+xml"/>
  <Override PartName="/xl/revisions/revisionLog16.xml" ContentType="application/vnd.openxmlformats-officedocument.spreadsheetml.revisionLog+xml"/>
  <Override PartName="/xl/revisions/revisionLog11021.xml" ContentType="application/vnd.openxmlformats-officedocument.spreadsheetml.revisionLog+xml"/>
  <Override PartName="/xl/revisions/revisionLog121.xml" ContentType="application/vnd.openxmlformats-officedocument.spreadsheetml.revisionLog+xml"/>
  <Override PartName="/xl/revisions/revisionLog16111.xml" ContentType="application/vnd.openxmlformats-officedocument.spreadsheetml.revisionLog+xml"/>
  <Override PartName="/xl/revisions/revisionLog1222.xml" ContentType="application/vnd.openxmlformats-officedocument.spreadsheetml.revisionLog+xml"/>
  <Override PartName="/xl/revisions/revisionLog132.xml" ContentType="application/vnd.openxmlformats-officedocument.spreadsheetml.revisionLog+xml"/>
  <Override PartName="/xl/revisions/revisionLog112111.xml" ContentType="application/vnd.openxmlformats-officedocument.spreadsheetml.revisionLog+xml"/>
  <Override PartName="/xl/worksheets/sheet3.xml" ContentType="application/vnd.openxmlformats-officedocument.spreadsheetml.worksheet+xml"/>
  <Override PartName="/xl/revisions/revisionLog110.xml" ContentType="application/vnd.openxmlformats-officedocument.spreadsheetml.revisionLog+xml"/>
  <Override PartName="/xl/revisions/revisionLog1211.xml" ContentType="application/vnd.openxmlformats-officedocument.spreadsheetml.revisionLog+xml"/>
  <Override PartName="/xl/externalLinks/externalLink1.xml" ContentType="application/vnd.openxmlformats-officedocument.spreadsheetml.externalLink+xml"/>
  <Override PartName="/xl/revisions/revisionLog12.xml" ContentType="application/vnd.openxmlformats-officedocument.spreadsheetml.revisionLog+xml"/>
  <Override PartName="/xl/revisions/revisionLog1161111.xml" ContentType="application/vnd.openxmlformats-officedocument.spreadsheetml.revisionLog+xml"/>
  <Override PartName="/xl/revisions/revisionLog11811.xml" ContentType="application/vnd.openxmlformats-officedocument.spreadsheetml.revisionLog+xml"/>
  <Override PartName="/xl/worksheets/sheet2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revisions/revisionLog1911111.xml" ContentType="application/vnd.openxmlformats-officedocument.spreadsheetml.revisionLog+xml"/>
  <Override PartName="/xl/revisions/revisionLog116111.xml" ContentType="application/vnd.openxmlformats-officedocument.spreadsheetml.revisionLog+xml"/>
  <Override PartName="/xl/revisions/revisionLog1191.xml" ContentType="application/vnd.openxmlformats-officedocument.spreadsheetml.revisionLog+xml"/>
  <Override PartName="/xl/revisions/revisionLog191111.xml" ContentType="application/vnd.openxmlformats-officedocument.spreadsheetml.revisionLog+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revisions/revisionLog1151.xml" ContentType="application/vnd.openxmlformats-officedocument.spreadsheetml.revisionLog+xml"/>
  <Override PartName="/xl/revisions/revisionLog1811.xml" ContentType="application/vnd.openxmlformats-officedocument.spreadsheetml.revisionLog+xml"/>
  <Override PartName="/xl/revisions/revisionLog11111.xml" ContentType="application/vnd.openxmlformats-officedocument.spreadsheetml.revisionLog+xml"/>
  <Override PartName="/xl/revisions/revisionLog1121111.xml" ContentType="application/vnd.openxmlformats-officedocument.spreadsheetml.revisionLog+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revisions/revisionLog1.xml" ContentType="application/vnd.openxmlformats-officedocument.spreadsheetml.revisionLog+xml"/>
  <Override PartName="/xl/revisions/revisionLog1111.xml" ContentType="application/vnd.openxmlformats-officedocument.spreadsheetml.revisionLog+xml"/>
  <Override PartName="/xl/revisions/revisionLog119.xml" ContentType="application/vnd.openxmlformats-officedocument.spreadsheetml.revisionLog+xml"/>
  <Override PartName="/xl/revisions/revisionLog1122.xml" ContentType="application/vnd.openxmlformats-officedocument.spreadsheetml.revisionLog+xml"/>
  <Override PartName="/xl/worksheets/sheet14.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revisions/revisionLog191.xml" ContentType="application/vnd.openxmlformats-officedocument.spreadsheetml.revisionLog+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revisions/revisionLog115.xml" ContentType="application/vnd.openxmlformats-officedocument.spreadsheetml.revisionLog+xml"/>
  <Override PartName="/xl/revisions/revisionLog151.xml" ContentType="application/vnd.openxmlformats-officedocument.spreadsheetml.revisionLog+xml"/>
  <Override PartName="/xl/revisions/revisionLog15111.xml" ContentType="application/vnd.openxmlformats-officedocument.spreadsheetml.revisionLog+xml"/>
  <Override PartName="/xl/revisions/revisionLog11711.xml" ContentType="application/vnd.openxmlformats-officedocument.spreadsheetml.revisionLo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revisions/revisionLog122.xml" ContentType="application/vnd.openxmlformats-officedocument.spreadsheetml.revisionLog+xml"/>
  <Override PartName="/xl/revisions/revisionLog17.xml" ContentType="application/vnd.openxmlformats-officedocument.spreadsheetml.revisionLog+xml"/>
  <Override PartName="/xl/revisions/revisionHeaders.xml" ContentType="application/vnd.openxmlformats-officedocument.spreadsheetml.revisionHeaders+xml"/>
  <Override PartName="/xl/revisions/revisionLog111.xml" ContentType="application/vnd.openxmlformats-officedocument.spreadsheetml.revisionLog+xml"/>
  <Override PartName="/xl/revisions/revisionLog11011.xml" ContentType="application/vnd.openxmlformats-officedocument.spreadsheetml.revisionLog+xml"/>
  <Override PartName="/xl/revisions/revisionLog1171111.xml" ContentType="application/vnd.openxmlformats-officedocument.spreadsheetml.revisionLog+xml"/>
  <Override PartName="/xl/revisions/revisionLog1201.xml" ContentType="application/vnd.openxmlformats-officedocument.spreadsheetml.revisionLo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revisions/revisionLog13.xml" ContentType="application/vnd.openxmlformats-officedocument.spreadsheetml.revisionLog+xml"/>
  <Override PartName="/xl/revisions/revisionLog19111.xml" ContentType="application/vnd.openxmlformats-officedocument.spreadsheetml.revisionLog+xml"/>
  <Override PartName="/xl/revisions/revisionLog110211.xml" ContentType="application/vnd.openxmlformats-officedocument.spreadsheetml.revisionLog+xml"/>
  <Override PartName="/xl/revisions/revisionLog11311.xml" ContentType="application/vnd.openxmlformats-officedocument.spreadsheetml.revisionLo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revisions/revisionLog11.xml" ContentType="application/vnd.openxmlformats-officedocument.spreadsheetml.revisionLog+xml"/>
  <Override PartName="/xl/revisions/revisionLog1131111.xml" ContentType="application/vnd.openxmlformats-officedocument.spreadsheetml.revisionLog+xml"/>
  <Override PartName="/xl/revisions/revisionLog115111.xml" ContentType="application/vnd.openxmlformats-officedocument.spreadsheetml.revisionLog+xml"/>
  <Override PartName="/xl/revisions/revisionLog1181.xml" ContentType="application/vnd.openxmlformats-officedocument.spreadsheetml.revisionLog+xml"/>
  <Override PartName="/xl/revisions/revisionLog1172.xml" ContentType="application/vnd.openxmlformats-officedocument.spreadsheetml.revisionLo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revisions/revisionLog11611.xml" ContentType="application/vnd.openxmlformats-officedocument.spreadsheetml.revisionLog+xml"/>
  <Override PartName="/xl/revisions/revisionLog117111.xml" ContentType="application/vnd.openxmlformats-officedocument.spreadsheetml.revisionLog+xml"/>
  <Override PartName="/xl/revisions/revisionLog112211.xml" ContentType="application/vnd.openxmlformats-officedocument.spreadsheetml.revisionLog+xml"/>
  <Override PartName="/xl/revisions/revisionLog1161.xml" ContentType="application/vnd.openxmlformats-officedocument.spreadsheetml.revisionLog+xml"/>
  <Override PartName="/xl/worksheets/sheet15.xml" ContentType="application/vnd.openxmlformats-officedocument.spreadsheetml.worksheet+xml"/>
  <Override PartName="/xl/worksheets/sheet44.xml" ContentType="application/vnd.openxmlformats-officedocument.spreadsheetml.worksheet+xml"/>
  <Override PartName="/xl/revisions/revisionLog1141.xml" ContentType="application/vnd.openxmlformats-officedocument.spreadsheetml.revisionLog+xml"/>
  <Override PartName="/xl/revisions/revisionLog1611.xml" ContentType="application/vnd.openxmlformats-officedocument.spreadsheetml.revisionLo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revisions/userNames.xml" ContentType="application/vnd.openxmlformats-officedocument.spreadsheetml.userNames+xml"/>
  <Override PartName="/xl/revisions/revisionLog1101.xml" ContentType="application/vnd.openxmlformats-officedocument.spreadsheetml.revisionLog+xml"/>
  <Override PartName="/xl/revisions/revisionLog116.xml" ContentType="application/vnd.openxmlformats-officedocument.spreadsheetml.revisionLog+xml"/>
  <Override PartName="/xl/worksheets/sheet1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Override PartName="/xl/revisions/revisionLog18.xml" ContentType="application/vnd.openxmlformats-officedocument.spreadsheetml.revisionLog+xml"/>
  <Override PartName="/xl/revisions/revisionLog181.xml" ContentType="application/vnd.openxmlformats-officedocument.spreadsheetml.revisionLog+xml"/>
  <Override PartName="/xl/revisions/revisionLog123.xml" ContentType="application/vnd.openxmlformats-officedocument.spreadsheetml.revisionLog+xml"/>
  <Override PartName="/xl/revisions/revisionLog152.xml" ContentType="application/vnd.openxmlformats-officedocument.spreadsheetml.revisionLog+xml"/>
  <Override PartName="/xl/revisions/revisionLog110111.xml" ContentType="application/vnd.openxmlformats-officedocument.spreadsheetml.revisionLog+xml"/>
  <Override PartName="/xl/revisions/revisionLog132111.xml" ContentType="application/vnd.openxmlformats-officedocument.spreadsheetml.revisionLog+xml"/>
  <Override PartName="/xl/worksheets/sheet5.xml" ContentType="application/vnd.openxmlformats-officedocument.spreadsheetml.worksheet+xml"/>
  <Override PartName="/xl/revisions/revisionLog112.xml" ContentType="application/vnd.openxmlformats-officedocument.spreadsheetml.revisionLog+xml"/>
  <Override PartName="/xl/revisions/revisionLog141.xml" ContentType="application/vnd.openxmlformats-officedocument.spreadsheetml.revisionLog+xml"/>
  <Override PartName="/xl/revisions/revisionLog1231.xml" ContentType="application/vnd.openxmlformats-officedocument.spreadsheetml.revisionLog+xml"/>
  <Override PartName="/xl/comments2.xml" ContentType="application/vnd.openxmlformats-officedocument.spreadsheetml.comments+xml"/>
  <Override PartName="/xl/revisions/revisionLog14.xml" ContentType="application/vnd.openxmlformats-officedocument.spreadsheetml.revisionLog+xml"/>
  <Override PartName="/xl/revisions/revisionLog13211.xml" ContentType="application/vnd.openxmlformats-officedocument.spreadsheetml.revisionLog+xml"/>
  <Override PartName="/xl/revisions/revisionLog11511.xml" ContentType="application/vnd.openxmlformats-officedocument.spreadsheetml.revisionLog+xml"/>
  <Override PartName="/xl/worksheets/sheet1.xml" ContentType="application/vnd.openxmlformats-officedocument.spreadsheetml.worksheet+xml"/>
  <Override PartName="/xl/revisions/revisionLog114111.xml" ContentType="application/vnd.openxmlformats-officedocument.spreadsheetml.revisionLog+xml"/>
  <Override PartName="/xl/revisions/revisionLog1511.xml" ContentType="application/vnd.openxmlformats-officedocument.spreadsheetml.revisionLog+xml"/>
  <Override PartName="/xl/worksheets/sheet38.xml" ContentType="application/vnd.openxmlformats-officedocument.spreadsheetml.worksheet+xml"/>
  <Override PartName="/xl/comments12.xml" ContentType="application/vnd.openxmlformats-officedocument.spreadsheetml.comments+xml"/>
  <Override PartName="/xl/revisions/revisionLog1321.xml" ContentType="application/vnd.openxmlformats-officedocument.spreadsheetml.revisionLog+xml"/>
  <Override PartName="/xl/revisions/revisionLog1141111.xml" ContentType="application/vnd.openxmlformats-officedocument.spreadsheetml.revisionLog+xml"/>
  <Override PartName="/xl/worksheets/sheet27.xml" ContentType="application/vnd.openxmlformats-officedocument.spreadsheetml.worksheet+xml"/>
  <Override PartName="/xl/worksheets/sheet45.xml" ContentType="application/vnd.openxmlformats-officedocument.spreadsheetml.worksheet+xml"/>
  <Override PartName="/xl/revisions/revisionLog1171.xml" ContentType="application/vnd.openxmlformats-officedocument.spreadsheetml.revisionLog+xml"/>
  <Override PartName="/xl/revisions/revisionLog11211111.xml" ContentType="application/vnd.openxmlformats-officedocument.spreadsheetml.revisionLog+xml"/>
  <Override PartName="/xl/worksheets/sheet16.xml" ContentType="application/vnd.openxmlformats-officedocument.spreadsheetml.worksheet+xml"/>
  <Override PartName="/xl/worksheets/sheet34.xml" ContentType="application/vnd.openxmlformats-officedocument.spreadsheetml.worksheet+xml"/>
  <Override PartName="/xl/revisions/revisionLog1131.xml" ContentType="application/vnd.openxmlformats-officedocument.spreadsheetml.revisionLog+xml"/>
  <Override PartName="/xl/revisions/revisionLog1101111.xml" ContentType="application/vnd.openxmlformats-officedocument.spreadsheetml.revisionLog+xml"/>
  <Override PartName="/xl/revisions/revisionLog11411.xml" ContentType="application/vnd.openxmlformats-officedocument.spreadsheetml.revisionLog+xml"/>
  <Override PartName="/xl/revisions/revisionLog1102.xml" ContentType="application/vnd.openxmlformats-officedocument.spreadsheetml.revisionLog+xml"/>
  <Override PartName="/xl/worksheets/sheet23.xml" ContentType="application/vnd.openxmlformats-officedocument.spreadsheetml.worksheet+xml"/>
  <Override PartName="/xl/worksheets/sheet41.xml" ContentType="application/vnd.openxmlformats-officedocument.spreadsheetml.worksheet+xml"/>
  <Override PartName="/xl/revisions/revisionLog117.xml" ContentType="application/vnd.openxmlformats-officedocument.spreadsheetml.revisionLo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revisions/revisionLog19.xml" ContentType="application/vnd.openxmlformats-officedocument.spreadsheetml.revisionLog+xml"/>
  <Override PartName="/xl/revisions/revisionLog1411.xml" ContentType="application/vnd.openxmlformats-officedocument.spreadsheetml.revisionLog+xml"/>
  <Override PartName="/xl/revisions/revisionLog11221.xml" ContentType="application/vnd.openxmlformats-officedocument.spreadsheetml.revisionLog+xml"/>
  <Override PartName="/xl/revisions/revisionLog171.xml" ContentType="application/vnd.openxmlformats-officedocument.spreadsheetml.revisionLog+xml"/>
  <Override PartName="/xl/revisions/revisionLog113.xml" ContentType="application/vnd.openxmlformats-officedocument.spreadsheetml.revisionLog+xml"/>
  <Override PartName="/xl/revisions/revisionLog1221.xml" ContentType="application/vnd.openxmlformats-officedocument.spreadsheetml.revisionLog+xml"/>
  <Override PartName="/xl/revisions/revisionLog11512.xml" ContentType="application/vnd.openxmlformats-officedocument.spreadsheetml.revisionLog+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revisions/revisionLog15.xml" ContentType="application/vnd.openxmlformats-officedocument.spreadsheetml.revisionLog+xml"/>
  <Override PartName="/xl/revisions/revisionLog113111.xml" ContentType="application/vnd.openxmlformats-officedocument.spreadsheetml.revisionLog+xml"/>
  <Override PartName="/xl/revisions/revisionLog12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30" yWindow="0" windowWidth="13035" windowHeight="11310" tabRatio="831" activeTab="1"/>
  </bookViews>
  <sheets>
    <sheet name="ЦЕНТР-ТИМ" sheetId="1" r:id="rId1"/>
    <sheet name="DoorHan" sheetId="47" r:id="rId2"/>
    <sheet name="HotRock" sheetId="2" r:id="rId3"/>
    <sheet name="ISOROC" sheetId="3" r:id="rId4"/>
    <sheet name="IZOVOL" sheetId="4" r:id="rId5"/>
    <sheet name="ROCKWOOL" sheetId="5" r:id="rId6"/>
    <sheet name="техноНИКОЛЬ" sheetId="6" r:id="rId7"/>
    <sheet name="Differo МИНПЛИТА" sheetId="21" r:id="rId8"/>
    <sheet name="PAROC" sheetId="23" r:id="rId9"/>
    <sheet name="ГКЛ Даногипс,ГИПРОК" sheetId="11" r:id="rId10"/>
    <sheet name="профили ГКЛ" sheetId="7" r:id="rId11"/>
    <sheet name="профили НВФ" sheetId="8" r:id="rId12"/>
    <sheet name="ИЗМ'ИЗО'ИЗТ" sheetId="9" r:id="rId13"/>
    <sheet name="плёнки'всп.п-эн" sheetId="10" r:id="rId14"/>
    <sheet name="рубероид" sheetId="12" r:id="rId15"/>
    <sheet name="ПСБ'XPS" sheetId="13" r:id="rId16"/>
    <sheet name="смеси'грунтовки" sheetId="14" r:id="rId17"/>
    <sheet name="docke" sheetId="15" state="hidden" r:id="rId18"/>
    <sheet name="мастики'битумы" sheetId="16" r:id="rId19"/>
    <sheet name="Техно Николь Рулонка,ПРАЙМЕР, " sheetId="17" r:id="rId20"/>
    <sheet name="ЦЕМЕНТ" sheetId="18" r:id="rId21"/>
    <sheet name="КНАУФ ГКЛ, профиля ,смеси" sheetId="19" r:id="rId22"/>
    <sheet name="УРСА КНАУФ(рулонка)" sheetId="20" r:id="rId23"/>
    <sheet name="OSB,ФАНЕРА,ПОЛИКАРБОНАТ" sheetId="22" r:id="rId24"/>
    <sheet name="Водосток 0,45 (по Складской)" sheetId="24" r:id="rId25"/>
    <sheet name="МеталлоЧерепица,Сайдинг,Профлис" sheetId="25" r:id="rId26"/>
    <sheet name="ГЧ ДЕКЕ" sheetId="26" state="hidden" r:id="rId27"/>
    <sheet name="Кровельная Вентиляция ДЕКЕ" sheetId="27" state="hidden" r:id="rId28"/>
    <sheet name="Сайдинг, Софиты, Доборка" sheetId="28" state="hidden" r:id="rId29"/>
    <sheet name="Фасадные Панели ДЕКЕ" sheetId="29" state="hidden" r:id="rId30"/>
    <sheet name="Водосточная Система ДЕКЕ" sheetId="30" state="hidden" r:id="rId31"/>
    <sheet name="Гранд Лайн Сайдинг и Доборка" sheetId="31" r:id="rId32"/>
    <sheet name="МЕТАЛЛ" sheetId="32" r:id="rId33"/>
    <sheet name="ВОКС" sheetId="33" r:id="rId34"/>
    <sheet name="Гран Лайн Я Фасад ТМО" sheetId="34" state="hidden" r:id="rId35"/>
    <sheet name="МЧ и Доборка ДЕКЕ" sheetId="35" r:id="rId36"/>
    <sheet name="Кровельная Вент ДЕКЕ" sheetId="36" state="hidden" r:id="rId37"/>
    <sheet name="Вентиляция Кровел ДЕКЕ" sheetId="37" r:id="rId38"/>
    <sheet name="Сайдинг LUX (Вудслайт) " sheetId="38" r:id="rId39"/>
    <sheet name="Сайдинг PREMIUM, STANDARD" sheetId="39" r:id="rId40"/>
    <sheet name="Водосток LUX (обновленный)" sheetId="40" r:id="rId41"/>
    <sheet name="Водосток PREMIUM (обновленный)" sheetId="41" r:id="rId42"/>
    <sheet name="Водосток STANDARD (обновленный)" sheetId="42" r:id="rId43"/>
    <sheet name="Фасадные Панели ДЕКЕ (новый)" sheetId="43" r:id="rId44"/>
    <sheet name="Чердач Лестницы ДЕКЕ" sheetId="44" r:id="rId45"/>
    <sheet name="ФИБРА + АРМАТУРА СТЕКЛО" sheetId="45" r:id="rId46"/>
    <sheet name="СМЕСИ ФОРММАТЕРИАЛЫ 999" sheetId="46" r:id="rId47"/>
  </sheets>
  <externalReferences>
    <externalReference r:id="rId48"/>
  </externalReferences>
  <definedNames>
    <definedName name="BASICPRICE">'[1]Прайс-лист Орел 09.01.2019-4'!#REF!</definedName>
    <definedName name="SALESRU">'[1]SALES SITE RU CS Active SKU'!$1:$1048576</definedName>
    <definedName name="TRANSPORT">'[1]Прайс-лист Орел 09.01.2019-4'!#REF!</definedName>
    <definedName name="Z_900EF7B2_0D63_4DE2_9CFC_2D2B3788802C_.wvu.Cols" localSheetId="7" hidden="1">'Differo МИНПЛИТА'!$I:$J</definedName>
    <definedName name="Z_900EF7B2_0D63_4DE2_9CFC_2D2B3788802C_.wvu.Cols" localSheetId="17" hidden="1">docke!$I:$M</definedName>
    <definedName name="Z_900EF7B2_0D63_4DE2_9CFC_2D2B3788802C_.wvu.Cols" localSheetId="2" hidden="1">HotRock!$L:$P</definedName>
    <definedName name="Z_900EF7B2_0D63_4DE2_9CFC_2D2B3788802C_.wvu.Cols" localSheetId="3" hidden="1">ISOROC!$M:$T</definedName>
    <definedName name="Z_900EF7B2_0D63_4DE2_9CFC_2D2B3788802C_.wvu.Cols" localSheetId="4" hidden="1">IZOVOL!$H:$J</definedName>
    <definedName name="Z_900EF7B2_0D63_4DE2_9CFC_2D2B3788802C_.wvu.Cols" localSheetId="23" hidden="1">'OSB,ФАНЕРА,ПОЛИКАРБОНАТ'!$C:$C</definedName>
    <definedName name="Z_900EF7B2_0D63_4DE2_9CFC_2D2B3788802C_.wvu.Cols" localSheetId="8" hidden="1">PAROC!$C:$C</definedName>
    <definedName name="Z_900EF7B2_0D63_4DE2_9CFC_2D2B3788802C_.wvu.Cols" localSheetId="5" hidden="1">ROCKWOOL!$G:$G</definedName>
    <definedName name="Z_900EF7B2_0D63_4DE2_9CFC_2D2B3788802C_.wvu.Cols" localSheetId="9" hidden="1">'ГКЛ Даногипс,ГИПРОК'!$G:$H</definedName>
    <definedName name="Z_900EF7B2_0D63_4DE2_9CFC_2D2B3788802C_.wvu.Cols" localSheetId="12" hidden="1">'ИЗМ''ИЗО''ИЗТ'!$D:$D</definedName>
    <definedName name="Z_900EF7B2_0D63_4DE2_9CFC_2D2B3788802C_.wvu.Cols" localSheetId="21" hidden="1">'КНАУФ ГКЛ, профиля ,смеси'!$C:$C</definedName>
    <definedName name="Z_900EF7B2_0D63_4DE2_9CFC_2D2B3788802C_.wvu.Cols" localSheetId="18" hidden="1">'мастики''битумы'!$H:$I</definedName>
    <definedName name="Z_900EF7B2_0D63_4DE2_9CFC_2D2B3788802C_.wvu.Cols" localSheetId="35" hidden="1">'МЧ и Доборка ДЕКЕ'!$G:$H</definedName>
    <definedName name="Z_900EF7B2_0D63_4DE2_9CFC_2D2B3788802C_.wvu.Cols" localSheetId="13" hidden="1">'плёнки''всп.п-эн'!$I:$K</definedName>
    <definedName name="Z_900EF7B2_0D63_4DE2_9CFC_2D2B3788802C_.wvu.Cols" localSheetId="10" hidden="1">'профили ГКЛ'!$O:$S</definedName>
    <definedName name="Z_900EF7B2_0D63_4DE2_9CFC_2D2B3788802C_.wvu.Cols" localSheetId="11" hidden="1">'профили НВФ'!$I:$K</definedName>
    <definedName name="Z_900EF7B2_0D63_4DE2_9CFC_2D2B3788802C_.wvu.Cols" localSheetId="15" hidden="1">'ПСБ''XPS'!$L:$Q</definedName>
    <definedName name="Z_900EF7B2_0D63_4DE2_9CFC_2D2B3788802C_.wvu.Cols" localSheetId="14" hidden="1">рубероид!$J:$M</definedName>
    <definedName name="Z_900EF7B2_0D63_4DE2_9CFC_2D2B3788802C_.wvu.Cols" localSheetId="46" hidden="1">'СМЕСИ ФОРММАТЕРИАЛЫ 999'!$E:$N</definedName>
    <definedName name="Z_900EF7B2_0D63_4DE2_9CFC_2D2B3788802C_.wvu.Cols" localSheetId="16" hidden="1">'смеси''грунтовки'!$F:$P</definedName>
    <definedName name="Z_900EF7B2_0D63_4DE2_9CFC_2D2B3788802C_.wvu.Cols" localSheetId="19" hidden="1">'Техно Николь Рулонка,ПРАЙМЕР, '!$E:$E</definedName>
    <definedName name="Z_900EF7B2_0D63_4DE2_9CFC_2D2B3788802C_.wvu.Cols" localSheetId="6" hidden="1">техноНИКОЛЬ!$H:$L</definedName>
    <definedName name="Z_900EF7B2_0D63_4DE2_9CFC_2D2B3788802C_.wvu.PrintArea" localSheetId="17" hidden="1">docke!$A$1:$M$37</definedName>
    <definedName name="Z_900EF7B2_0D63_4DE2_9CFC_2D2B3788802C_.wvu.PrintArea" localSheetId="2" hidden="1">HotRock!$A$1:$P$31</definedName>
    <definedName name="Z_900EF7B2_0D63_4DE2_9CFC_2D2B3788802C_.wvu.PrintArea" localSheetId="3" hidden="1">ISOROC!$A$1:$T$14</definedName>
    <definedName name="Z_900EF7B2_0D63_4DE2_9CFC_2D2B3788802C_.wvu.PrintArea" localSheetId="4" hidden="1">IZOVOL!$A$1:$L$20</definedName>
    <definedName name="Z_900EF7B2_0D63_4DE2_9CFC_2D2B3788802C_.wvu.PrintArea" localSheetId="5" hidden="1">ROCKWOOL!$A$1:$H$36</definedName>
    <definedName name="Z_900EF7B2_0D63_4DE2_9CFC_2D2B3788802C_.wvu.PrintArea" localSheetId="9" hidden="1">'ГКЛ Даногипс,ГИПРОК'!$A$1:$I$29</definedName>
    <definedName name="Z_900EF7B2_0D63_4DE2_9CFC_2D2B3788802C_.wvu.PrintArea" localSheetId="13" hidden="1">'плёнки''всп.п-эн'!$A$1:$L$78</definedName>
    <definedName name="Z_900EF7B2_0D63_4DE2_9CFC_2D2B3788802C_.wvu.PrintArea" localSheetId="10" hidden="1">'профили ГКЛ'!$A$1:$N$39</definedName>
    <definedName name="Z_900EF7B2_0D63_4DE2_9CFC_2D2B3788802C_.wvu.PrintArea" localSheetId="11" hidden="1">'профили НВФ'!$A$1:$K$66</definedName>
    <definedName name="Z_900EF7B2_0D63_4DE2_9CFC_2D2B3788802C_.wvu.PrintArea" localSheetId="15" hidden="1">'ПСБ''XPS'!$A$1:$R$21</definedName>
    <definedName name="Z_900EF7B2_0D63_4DE2_9CFC_2D2B3788802C_.wvu.PrintArea" localSheetId="14" hidden="1">рубероид!$A$1:$M$52</definedName>
    <definedName name="Z_900EF7B2_0D63_4DE2_9CFC_2D2B3788802C_.wvu.PrintArea" localSheetId="16" hidden="1">'смеси''грунтовки'!$A$1:$P$160</definedName>
    <definedName name="Z_900EF7B2_0D63_4DE2_9CFC_2D2B3788802C_.wvu.PrintArea" localSheetId="6" hidden="1">техноНИКОЛЬ!$A$1:$L$20</definedName>
    <definedName name="Z_900EF7B2_0D63_4DE2_9CFC_2D2B3788802C_.wvu.PrintArea" localSheetId="0" hidden="1">'ЦЕНТР-ТИМ'!$A$1:$Q$208</definedName>
    <definedName name="Z_900EF7B2_0D63_4DE2_9CFC_2D2B3788802C_.wvu.Rows" localSheetId="33" hidden="1">ВОКС!$4:$4</definedName>
    <definedName name="Z_900EF7B2_0D63_4DE2_9CFC_2D2B3788802C_.wvu.Rows" localSheetId="35" hidden="1">'МЧ и Доборка ДЕКЕ'!$4:$4</definedName>
    <definedName name="Z_900EF7B2_0D63_4DE2_9CFC_2D2B3788802C_.wvu.Rows" localSheetId="13" hidden="1">'плёнки''всп.п-эн'!$17:$24</definedName>
    <definedName name="Z_900EF7B2_0D63_4DE2_9CFC_2D2B3788802C_.wvu.Rows" localSheetId="15" hidden="1">'ПСБ''XPS'!$1:$1</definedName>
    <definedName name="Z_900EF7B2_0D63_4DE2_9CFC_2D2B3788802C_.wvu.Rows" localSheetId="45" hidden="1">'ФИБРА + АРМАТУРА СТЕКЛО'!$29:$29</definedName>
    <definedName name="Z_C0FE86CC_5BB4_4265_957F_F51B909B3E81_.wvu.Cols" localSheetId="7" hidden="1">'Differo МИНПЛИТА'!$I:$J</definedName>
    <definedName name="Z_C0FE86CC_5BB4_4265_957F_F51B909B3E81_.wvu.Cols" localSheetId="17" hidden="1">docke!$I:$M</definedName>
    <definedName name="Z_C0FE86CC_5BB4_4265_957F_F51B909B3E81_.wvu.Cols" localSheetId="2" hidden="1">HotRock!$L:$P</definedName>
    <definedName name="Z_C0FE86CC_5BB4_4265_957F_F51B909B3E81_.wvu.Cols" localSheetId="3" hidden="1">ISOROC!$M:$T</definedName>
    <definedName name="Z_C0FE86CC_5BB4_4265_957F_F51B909B3E81_.wvu.Cols" localSheetId="4" hidden="1">IZOVOL!$H:$L</definedName>
    <definedName name="Z_C0FE86CC_5BB4_4265_957F_F51B909B3E81_.wvu.Cols" localSheetId="23" hidden="1">'OSB,ФАНЕРА,ПОЛИКАРБОНАТ'!$C:$C</definedName>
    <definedName name="Z_C0FE86CC_5BB4_4265_957F_F51B909B3E81_.wvu.Cols" localSheetId="8" hidden="1">PAROC!$C:$C</definedName>
    <definedName name="Z_C0FE86CC_5BB4_4265_957F_F51B909B3E81_.wvu.Cols" localSheetId="5" hidden="1">ROCKWOOL!$G:$G</definedName>
    <definedName name="Z_C0FE86CC_5BB4_4265_957F_F51B909B3E81_.wvu.Cols" localSheetId="9" hidden="1">'ГКЛ Даногипс,ГИПРОК'!$G:$H</definedName>
    <definedName name="Z_C0FE86CC_5BB4_4265_957F_F51B909B3E81_.wvu.Cols" localSheetId="12" hidden="1">'ИЗМ''ИЗО''ИЗТ'!$D:$D</definedName>
    <definedName name="Z_C0FE86CC_5BB4_4265_957F_F51B909B3E81_.wvu.Cols" localSheetId="21" hidden="1">'КНАУФ ГКЛ, профиля ,смеси'!$C:$C</definedName>
    <definedName name="Z_C0FE86CC_5BB4_4265_957F_F51B909B3E81_.wvu.Cols" localSheetId="18" hidden="1">'мастики''битумы'!$H:$I</definedName>
    <definedName name="Z_C0FE86CC_5BB4_4265_957F_F51B909B3E81_.wvu.Cols" localSheetId="13" hidden="1">'плёнки''всп.п-эн'!$I:$K</definedName>
    <definedName name="Z_C0FE86CC_5BB4_4265_957F_F51B909B3E81_.wvu.Cols" localSheetId="10" hidden="1">'профили ГКЛ'!$O:$S</definedName>
    <definedName name="Z_C0FE86CC_5BB4_4265_957F_F51B909B3E81_.wvu.Cols" localSheetId="11" hidden="1">'профили НВФ'!$I:$K</definedName>
    <definedName name="Z_C0FE86CC_5BB4_4265_957F_F51B909B3E81_.wvu.Cols" localSheetId="15" hidden="1">'ПСБ''XPS'!$L:$Q</definedName>
    <definedName name="Z_C0FE86CC_5BB4_4265_957F_F51B909B3E81_.wvu.Cols" localSheetId="14" hidden="1">рубероид!$J:$M</definedName>
    <definedName name="Z_C0FE86CC_5BB4_4265_957F_F51B909B3E81_.wvu.Cols" localSheetId="16" hidden="1">'смеси''грунтовки'!$F:$P</definedName>
    <definedName name="Z_C0FE86CC_5BB4_4265_957F_F51B909B3E81_.wvu.Cols" localSheetId="19" hidden="1">'Техно Николь Рулонка,ПРАЙМЕР, '!$E:$E</definedName>
    <definedName name="Z_C0FE86CC_5BB4_4265_957F_F51B909B3E81_.wvu.Cols" localSheetId="6" hidden="1">техноНИКОЛЬ!$H:$L</definedName>
    <definedName name="Z_C0FE86CC_5BB4_4265_957F_F51B909B3E81_.wvu.PrintArea" localSheetId="17" hidden="1">docke!$A$1:$M$37</definedName>
    <definedName name="Z_C0FE86CC_5BB4_4265_957F_F51B909B3E81_.wvu.PrintArea" localSheetId="2" hidden="1">HotRock!$A$1:$P$31</definedName>
    <definedName name="Z_C0FE86CC_5BB4_4265_957F_F51B909B3E81_.wvu.PrintArea" localSheetId="3" hidden="1">ISOROC!$A$1:$T$14</definedName>
    <definedName name="Z_C0FE86CC_5BB4_4265_957F_F51B909B3E81_.wvu.PrintArea" localSheetId="4" hidden="1">IZOVOL!$A$1:$L$20</definedName>
    <definedName name="Z_C0FE86CC_5BB4_4265_957F_F51B909B3E81_.wvu.PrintArea" localSheetId="5" hidden="1">ROCKWOOL!$A$1:$H$36</definedName>
    <definedName name="Z_C0FE86CC_5BB4_4265_957F_F51B909B3E81_.wvu.PrintArea" localSheetId="9" hidden="1">'ГКЛ Даногипс,ГИПРОК'!$A$1:$I$29</definedName>
    <definedName name="Z_C0FE86CC_5BB4_4265_957F_F51B909B3E81_.wvu.PrintArea" localSheetId="13" hidden="1">'плёнки''всп.п-эн'!$A$1:$L$78</definedName>
    <definedName name="Z_C0FE86CC_5BB4_4265_957F_F51B909B3E81_.wvu.PrintArea" localSheetId="10" hidden="1">'профили ГКЛ'!$A$1:$N$39</definedName>
    <definedName name="Z_C0FE86CC_5BB4_4265_957F_F51B909B3E81_.wvu.PrintArea" localSheetId="11" hidden="1">'профили НВФ'!$A$1:$K$66</definedName>
    <definedName name="Z_C0FE86CC_5BB4_4265_957F_F51B909B3E81_.wvu.PrintArea" localSheetId="15" hidden="1">'ПСБ''XPS'!$A$1:$R$21</definedName>
    <definedName name="Z_C0FE86CC_5BB4_4265_957F_F51B909B3E81_.wvu.PrintArea" localSheetId="14" hidden="1">рубероид!$A$1:$M$52</definedName>
    <definedName name="Z_C0FE86CC_5BB4_4265_957F_F51B909B3E81_.wvu.PrintArea" localSheetId="16" hidden="1">'смеси''грунтовки'!$A$1:$P$160</definedName>
    <definedName name="Z_C0FE86CC_5BB4_4265_957F_F51B909B3E81_.wvu.PrintArea" localSheetId="6" hidden="1">техноНИКОЛЬ!$A$1:$L$20</definedName>
    <definedName name="Z_C0FE86CC_5BB4_4265_957F_F51B909B3E81_.wvu.PrintArea" localSheetId="0" hidden="1">'ЦЕНТР-ТИМ'!$A$1:$Q$208</definedName>
    <definedName name="Z_C0FE86CC_5BB4_4265_957F_F51B909B3E81_.wvu.Rows" localSheetId="7" hidden="1">'Differo МИНПЛИТА'!$2:$3</definedName>
    <definedName name="Z_C0FE86CC_5BB4_4265_957F_F51B909B3E81_.wvu.Rows" localSheetId="33" hidden="1">ВОКС!$4:$4</definedName>
    <definedName name="Z_C0FE86CC_5BB4_4265_957F_F51B909B3E81_.wvu.Rows" localSheetId="13" hidden="1">'плёнки''всп.п-эн'!$17:$24</definedName>
    <definedName name="Z_C0FE86CC_5BB4_4265_957F_F51B909B3E81_.wvu.Rows" localSheetId="15" hidden="1">'ПСБ''XPS'!$1:$1</definedName>
    <definedName name="Z_CC6D6007_EFDE_464F_BD7C_A67043AC5D5C_.wvu.Cols" localSheetId="7" hidden="1">'Differo МИНПЛИТА'!$I:$J</definedName>
    <definedName name="Z_CC6D6007_EFDE_464F_BD7C_A67043AC5D5C_.wvu.Cols" localSheetId="17" hidden="1">docke!$I:$M</definedName>
    <definedName name="Z_CC6D6007_EFDE_464F_BD7C_A67043AC5D5C_.wvu.Cols" localSheetId="2" hidden="1">HotRock!$L:$P</definedName>
    <definedName name="Z_CC6D6007_EFDE_464F_BD7C_A67043AC5D5C_.wvu.Cols" localSheetId="3" hidden="1">ISOROC!$M:$T</definedName>
    <definedName name="Z_CC6D6007_EFDE_464F_BD7C_A67043AC5D5C_.wvu.Cols" localSheetId="4" hidden="1">IZOVOL!$H:$L</definedName>
    <definedName name="Z_CC6D6007_EFDE_464F_BD7C_A67043AC5D5C_.wvu.Cols" localSheetId="23" hidden="1">'OSB,ФАНЕРА,ПОЛИКАРБОНАТ'!$C:$C</definedName>
    <definedName name="Z_CC6D6007_EFDE_464F_BD7C_A67043AC5D5C_.wvu.Cols" localSheetId="8" hidden="1">PAROC!$C:$C</definedName>
    <definedName name="Z_CC6D6007_EFDE_464F_BD7C_A67043AC5D5C_.wvu.Cols" localSheetId="5" hidden="1">ROCKWOOL!$G:$G</definedName>
    <definedName name="Z_CC6D6007_EFDE_464F_BD7C_A67043AC5D5C_.wvu.Cols" localSheetId="9" hidden="1">'ГКЛ Даногипс,ГИПРОК'!$G:$H,'ГКЛ Даногипс,ГИПРОК'!$J:$K</definedName>
    <definedName name="Z_CC6D6007_EFDE_464F_BD7C_A67043AC5D5C_.wvu.Cols" localSheetId="12" hidden="1">'ИЗМ''ИЗО''ИЗТ'!$D:$D</definedName>
    <definedName name="Z_CC6D6007_EFDE_464F_BD7C_A67043AC5D5C_.wvu.Cols" localSheetId="21" hidden="1">'КНАУФ ГКЛ, профиля ,смеси'!$C:$C</definedName>
    <definedName name="Z_CC6D6007_EFDE_464F_BD7C_A67043AC5D5C_.wvu.Cols" localSheetId="18" hidden="1">'мастики''битумы'!$H:$I</definedName>
    <definedName name="Z_CC6D6007_EFDE_464F_BD7C_A67043AC5D5C_.wvu.Cols" localSheetId="35" hidden="1">'МЧ и Доборка ДЕКЕ'!$G:$H</definedName>
    <definedName name="Z_CC6D6007_EFDE_464F_BD7C_A67043AC5D5C_.wvu.Cols" localSheetId="13" hidden="1">'плёнки''всп.п-эн'!$I:$K</definedName>
    <definedName name="Z_CC6D6007_EFDE_464F_BD7C_A67043AC5D5C_.wvu.Cols" localSheetId="10" hidden="1">'профили ГКЛ'!$O:$S</definedName>
    <definedName name="Z_CC6D6007_EFDE_464F_BD7C_A67043AC5D5C_.wvu.Cols" localSheetId="11" hidden="1">'профили НВФ'!$I:$K</definedName>
    <definedName name="Z_CC6D6007_EFDE_464F_BD7C_A67043AC5D5C_.wvu.Cols" localSheetId="15" hidden="1">'ПСБ''XPS'!$L:$Q</definedName>
    <definedName name="Z_CC6D6007_EFDE_464F_BD7C_A67043AC5D5C_.wvu.Cols" localSheetId="14" hidden="1">рубероид!$J:$M</definedName>
    <definedName name="Z_CC6D6007_EFDE_464F_BD7C_A67043AC5D5C_.wvu.Cols" localSheetId="16" hidden="1">'смеси''грунтовки'!$F:$P</definedName>
    <definedName name="Z_CC6D6007_EFDE_464F_BD7C_A67043AC5D5C_.wvu.Cols" localSheetId="19" hidden="1">'Техно Николь Рулонка,ПРАЙМЕР, '!$E:$E</definedName>
    <definedName name="Z_CC6D6007_EFDE_464F_BD7C_A67043AC5D5C_.wvu.Cols" localSheetId="6" hidden="1">техноНИКОЛЬ!$H:$L</definedName>
    <definedName name="Z_CC6D6007_EFDE_464F_BD7C_A67043AC5D5C_.wvu.PrintArea" localSheetId="17" hidden="1">docke!$A$1:$M$37</definedName>
    <definedName name="Z_CC6D6007_EFDE_464F_BD7C_A67043AC5D5C_.wvu.PrintArea" localSheetId="2" hidden="1">HotRock!$A$1:$P$31</definedName>
    <definedName name="Z_CC6D6007_EFDE_464F_BD7C_A67043AC5D5C_.wvu.PrintArea" localSheetId="3" hidden="1">ISOROC!$A$1:$T$14</definedName>
    <definedName name="Z_CC6D6007_EFDE_464F_BD7C_A67043AC5D5C_.wvu.PrintArea" localSheetId="4" hidden="1">IZOVOL!$A$1:$L$20</definedName>
    <definedName name="Z_CC6D6007_EFDE_464F_BD7C_A67043AC5D5C_.wvu.PrintArea" localSheetId="5" hidden="1">ROCKWOOL!$A$1:$H$36</definedName>
    <definedName name="Z_CC6D6007_EFDE_464F_BD7C_A67043AC5D5C_.wvu.PrintArea" localSheetId="9" hidden="1">'ГКЛ Даногипс,ГИПРОК'!$A$1:$K$29</definedName>
    <definedName name="Z_CC6D6007_EFDE_464F_BD7C_A67043AC5D5C_.wvu.PrintArea" localSheetId="13" hidden="1">'плёнки''всп.п-эн'!$A$1:$L$78</definedName>
    <definedName name="Z_CC6D6007_EFDE_464F_BD7C_A67043AC5D5C_.wvu.PrintArea" localSheetId="10" hidden="1">'профили ГКЛ'!$A$1:$N$39</definedName>
    <definedName name="Z_CC6D6007_EFDE_464F_BD7C_A67043AC5D5C_.wvu.PrintArea" localSheetId="11" hidden="1">'профили НВФ'!$A$1:$K$66</definedName>
    <definedName name="Z_CC6D6007_EFDE_464F_BD7C_A67043AC5D5C_.wvu.PrintArea" localSheetId="15" hidden="1">'ПСБ''XPS'!$A$1:$R$21</definedName>
    <definedName name="Z_CC6D6007_EFDE_464F_BD7C_A67043AC5D5C_.wvu.PrintArea" localSheetId="14" hidden="1">рубероид!$A$1:$M$52</definedName>
    <definedName name="Z_CC6D6007_EFDE_464F_BD7C_A67043AC5D5C_.wvu.PrintArea" localSheetId="16" hidden="1">'смеси''грунтовки'!$A$1:$P$160</definedName>
    <definedName name="Z_CC6D6007_EFDE_464F_BD7C_A67043AC5D5C_.wvu.PrintArea" localSheetId="6" hidden="1">техноНИКОЛЬ!$A$1:$L$20</definedName>
    <definedName name="Z_CC6D6007_EFDE_464F_BD7C_A67043AC5D5C_.wvu.PrintArea" localSheetId="0" hidden="1">'ЦЕНТР-ТИМ'!$A$1:$Q$208</definedName>
    <definedName name="Z_CC6D6007_EFDE_464F_BD7C_A67043AC5D5C_.wvu.Rows" localSheetId="33" hidden="1">ВОКС!$4:$4</definedName>
    <definedName name="Z_CC6D6007_EFDE_464F_BD7C_A67043AC5D5C_.wvu.Rows" localSheetId="35" hidden="1">'МЧ и Доборка ДЕКЕ'!$4:$4</definedName>
    <definedName name="Z_CC6D6007_EFDE_464F_BD7C_A67043AC5D5C_.wvu.Rows" localSheetId="13" hidden="1">'плёнки''всп.п-эн'!$17:$24</definedName>
    <definedName name="Z_CC6D6007_EFDE_464F_BD7C_A67043AC5D5C_.wvu.Rows" localSheetId="15" hidden="1">'ПСБ''XPS'!$1:$1</definedName>
    <definedName name="Z_CC6D6007_EFDE_464F_BD7C_A67043AC5D5C_.wvu.Rows" localSheetId="20" hidden="1">ЦЕМЕНТ!$9:$13,ЦЕМЕНТ!$21:$27</definedName>
    <definedName name="Z_FBB3E572_A647_4B8C_96C7_F43FE4F7CAA8_.wvu.Cols" localSheetId="7" hidden="1">'Differo МИНПЛИТА'!$I:$J</definedName>
    <definedName name="Z_FBB3E572_A647_4B8C_96C7_F43FE4F7CAA8_.wvu.Cols" localSheetId="17" hidden="1">docke!$I:$M</definedName>
    <definedName name="Z_FBB3E572_A647_4B8C_96C7_F43FE4F7CAA8_.wvu.Cols" localSheetId="1" hidden="1">DoorHan!$G:$J</definedName>
    <definedName name="Z_FBB3E572_A647_4B8C_96C7_F43FE4F7CAA8_.wvu.Cols" localSheetId="2" hidden="1">HotRock!$L:$P</definedName>
    <definedName name="Z_FBB3E572_A647_4B8C_96C7_F43FE4F7CAA8_.wvu.Cols" localSheetId="3" hidden="1">ISOROC!$M:$T</definedName>
    <definedName name="Z_FBB3E572_A647_4B8C_96C7_F43FE4F7CAA8_.wvu.Cols" localSheetId="4" hidden="1">IZOVOL!$H:$J</definedName>
    <definedName name="Z_FBB3E572_A647_4B8C_96C7_F43FE4F7CAA8_.wvu.Cols" localSheetId="23" hidden="1">'OSB,ФАНЕРА,ПОЛИКАРБОНАТ'!$C:$C</definedName>
    <definedName name="Z_FBB3E572_A647_4B8C_96C7_F43FE4F7CAA8_.wvu.Cols" localSheetId="8" hidden="1">PAROC!$C:$C</definedName>
    <definedName name="Z_FBB3E572_A647_4B8C_96C7_F43FE4F7CAA8_.wvu.Cols" localSheetId="5" hidden="1">ROCKWOOL!$G:$G</definedName>
    <definedName name="Z_FBB3E572_A647_4B8C_96C7_F43FE4F7CAA8_.wvu.Cols" localSheetId="9" hidden="1">'ГКЛ Даногипс,ГИПРОК'!$G:$H</definedName>
    <definedName name="Z_FBB3E572_A647_4B8C_96C7_F43FE4F7CAA8_.wvu.Cols" localSheetId="12" hidden="1">'ИЗМ''ИЗО''ИЗТ'!$D:$D</definedName>
    <definedName name="Z_FBB3E572_A647_4B8C_96C7_F43FE4F7CAA8_.wvu.Cols" localSheetId="21" hidden="1">'КНАУФ ГКЛ, профиля ,смеси'!$C:$C</definedName>
    <definedName name="Z_FBB3E572_A647_4B8C_96C7_F43FE4F7CAA8_.wvu.Cols" localSheetId="18" hidden="1">'мастики''битумы'!$H:$I</definedName>
    <definedName name="Z_FBB3E572_A647_4B8C_96C7_F43FE4F7CAA8_.wvu.Cols" localSheetId="35" hidden="1">'МЧ и Доборка ДЕКЕ'!$G:$H</definedName>
    <definedName name="Z_FBB3E572_A647_4B8C_96C7_F43FE4F7CAA8_.wvu.Cols" localSheetId="13" hidden="1">'плёнки''всп.п-эн'!$I:$K</definedName>
    <definedName name="Z_FBB3E572_A647_4B8C_96C7_F43FE4F7CAA8_.wvu.Cols" localSheetId="10" hidden="1">'профили ГКЛ'!$O:$S</definedName>
    <definedName name="Z_FBB3E572_A647_4B8C_96C7_F43FE4F7CAA8_.wvu.Cols" localSheetId="11" hidden="1">'профили НВФ'!$I:$K</definedName>
    <definedName name="Z_FBB3E572_A647_4B8C_96C7_F43FE4F7CAA8_.wvu.Cols" localSheetId="15" hidden="1">'ПСБ''XPS'!$L:$Q</definedName>
    <definedName name="Z_FBB3E572_A647_4B8C_96C7_F43FE4F7CAA8_.wvu.Cols" localSheetId="14" hidden="1">рубероид!$J:$M</definedName>
    <definedName name="Z_FBB3E572_A647_4B8C_96C7_F43FE4F7CAA8_.wvu.Cols" localSheetId="46" hidden="1">'СМЕСИ ФОРММАТЕРИАЛЫ 999'!$E:$N</definedName>
    <definedName name="Z_FBB3E572_A647_4B8C_96C7_F43FE4F7CAA8_.wvu.Cols" localSheetId="16" hidden="1">'смеси''грунтовки'!$F:$P</definedName>
    <definedName name="Z_FBB3E572_A647_4B8C_96C7_F43FE4F7CAA8_.wvu.Cols" localSheetId="19" hidden="1">'Техно Николь Рулонка,ПРАЙМЕР, '!$E:$E</definedName>
    <definedName name="Z_FBB3E572_A647_4B8C_96C7_F43FE4F7CAA8_.wvu.Cols" localSheetId="6" hidden="1">техноНИКОЛЬ!$H:$L</definedName>
    <definedName name="Z_FBB3E572_A647_4B8C_96C7_F43FE4F7CAA8_.wvu.PrintArea" localSheetId="17" hidden="1">docke!$A$1:$M$37</definedName>
    <definedName name="Z_FBB3E572_A647_4B8C_96C7_F43FE4F7CAA8_.wvu.PrintArea" localSheetId="2" hidden="1">HotRock!$A$1:$P$31</definedName>
    <definedName name="Z_FBB3E572_A647_4B8C_96C7_F43FE4F7CAA8_.wvu.PrintArea" localSheetId="3" hidden="1">ISOROC!$A$1:$T$14</definedName>
    <definedName name="Z_FBB3E572_A647_4B8C_96C7_F43FE4F7CAA8_.wvu.PrintArea" localSheetId="4" hidden="1">IZOVOL!$A$1:$L$20</definedName>
    <definedName name="Z_FBB3E572_A647_4B8C_96C7_F43FE4F7CAA8_.wvu.PrintArea" localSheetId="5" hidden="1">ROCKWOOL!$A$1:$H$36</definedName>
    <definedName name="Z_FBB3E572_A647_4B8C_96C7_F43FE4F7CAA8_.wvu.PrintArea" localSheetId="9" hidden="1">'ГКЛ Даногипс,ГИПРОК'!$A$1:$I$29</definedName>
    <definedName name="Z_FBB3E572_A647_4B8C_96C7_F43FE4F7CAA8_.wvu.PrintArea" localSheetId="13" hidden="1">'плёнки''всп.п-эн'!$A$1:$L$78</definedName>
    <definedName name="Z_FBB3E572_A647_4B8C_96C7_F43FE4F7CAA8_.wvu.PrintArea" localSheetId="10" hidden="1">'профили ГКЛ'!$A$1:$N$39</definedName>
    <definedName name="Z_FBB3E572_A647_4B8C_96C7_F43FE4F7CAA8_.wvu.PrintArea" localSheetId="11" hidden="1">'профили НВФ'!$A$1:$K$66</definedName>
    <definedName name="Z_FBB3E572_A647_4B8C_96C7_F43FE4F7CAA8_.wvu.PrintArea" localSheetId="15" hidden="1">'ПСБ''XPS'!$A$1:$R$21</definedName>
    <definedName name="Z_FBB3E572_A647_4B8C_96C7_F43FE4F7CAA8_.wvu.PrintArea" localSheetId="14" hidden="1">рубероид!$A$1:$M$52</definedName>
    <definedName name="Z_FBB3E572_A647_4B8C_96C7_F43FE4F7CAA8_.wvu.PrintArea" localSheetId="16" hidden="1">'смеси''грунтовки'!$A$1:$P$160</definedName>
    <definedName name="Z_FBB3E572_A647_4B8C_96C7_F43FE4F7CAA8_.wvu.PrintArea" localSheetId="6" hidden="1">техноНИКОЛЬ!$A$1:$L$20</definedName>
    <definedName name="Z_FBB3E572_A647_4B8C_96C7_F43FE4F7CAA8_.wvu.PrintArea" localSheetId="0" hidden="1">'ЦЕНТР-ТИМ'!$A$1:$Q$208</definedName>
    <definedName name="Z_FBB3E572_A647_4B8C_96C7_F43FE4F7CAA8_.wvu.Rows" localSheetId="33" hidden="1">ВОКС!$4:$4</definedName>
    <definedName name="Z_FBB3E572_A647_4B8C_96C7_F43FE4F7CAA8_.wvu.Rows" localSheetId="35" hidden="1">'МЧ и Доборка ДЕКЕ'!$4:$4</definedName>
    <definedName name="Z_FBB3E572_A647_4B8C_96C7_F43FE4F7CAA8_.wvu.Rows" localSheetId="13" hidden="1">'плёнки''всп.п-эн'!$17:$24</definedName>
    <definedName name="Z_FBB3E572_A647_4B8C_96C7_F43FE4F7CAA8_.wvu.Rows" localSheetId="15" hidden="1">'ПСБ''XPS'!$1:$1</definedName>
    <definedName name="Z_FBB3E572_A647_4B8C_96C7_F43FE4F7CAA8_.wvu.Rows" localSheetId="45" hidden="1">'ФИБРА + АРМАТУРА СТЕКЛО'!$29:$29</definedName>
    <definedName name="_xlnm.Print_Area" localSheetId="17">docke!$A$1:$M$37</definedName>
    <definedName name="_xlnm.Print_Area" localSheetId="2">HotRock!$A$1:$P$31</definedName>
    <definedName name="_xlnm.Print_Area" localSheetId="3">ISOROC!$A$1:$T$14</definedName>
    <definedName name="_xlnm.Print_Area" localSheetId="4">IZOVOL!$A$1:$L$20</definedName>
    <definedName name="_xlnm.Print_Area" localSheetId="5">ROCKWOOL!$A$1:$H$36</definedName>
    <definedName name="_xlnm.Print_Area" localSheetId="9">'ГКЛ Даногипс,ГИПРОК'!$A$1:$I$29</definedName>
    <definedName name="_xlnm.Print_Area" localSheetId="13">'плёнки''всп.п-эн'!$A$1:$L$78</definedName>
    <definedName name="_xlnm.Print_Area" localSheetId="10">'профили ГКЛ'!$A$1:$N$39</definedName>
    <definedName name="_xlnm.Print_Area" localSheetId="11">'профили НВФ'!$A$1:$K$66</definedName>
    <definedName name="_xlnm.Print_Area" localSheetId="15">'ПСБ''XPS'!$A$1:$R$21</definedName>
    <definedName name="_xlnm.Print_Area" localSheetId="14">рубероид!$A$1:$M$52</definedName>
    <definedName name="_xlnm.Print_Area" localSheetId="16">'смеси''грунтовки'!$A$1:$P$160</definedName>
    <definedName name="_xlnm.Print_Area" localSheetId="6">техноНИКОЛЬ!$A$1:$L$20</definedName>
    <definedName name="_xlnm.Print_Area" localSheetId="0">'ЦЕНТР-ТИМ'!$A$1:$Q$208</definedName>
  </definedNames>
  <calcPr calcId="124519"/>
  <customWorkbookViews>
    <customWorkbookView name="Пользователь - Личное представление" guid="{FBB3E572-A647-4B8C-96C7-F43FE4F7CAA8}" mergeInterval="0" personalView="1" maximized="1" xWindow="1" yWindow="1" windowWidth="1217" windowHeight="721" tabRatio="831" activeSheetId="47"/>
    <customWorkbookView name="Иван - Личное представление" guid="{900EF7B2-0D63-4DE2-9CFC-2D2B3788802C}" mergeInterval="0" personalView="1" maximized="1" xWindow="1" yWindow="1" windowWidth="1725" windowHeight="644" activeSheetId="46"/>
    <customWorkbookView name="сергей - Личное представление" guid="{CC6D6007-EFDE-464F-BD7C-A67043AC5D5C}" mergeInterval="0" personalView="1" maximized="1" xWindow="1" yWindow="1" windowWidth="1035" windowHeight="635" activeSheetId="19"/>
    <customWorkbookView name="user - Личное представление" guid="{C0FE86CC-5BB4-4265-957F-F51B909B3E81}" mergeInterval="0" personalView="1" maximized="1" xWindow="1" yWindow="1" windowWidth="1219" windowHeight="725" activeSheetId="24"/>
  </customWorkbookViews>
</workbook>
</file>

<file path=xl/calcChain.xml><?xml version="1.0" encoding="utf-8"?>
<calcChain xmlns="http://schemas.openxmlformats.org/spreadsheetml/2006/main">
  <c r="N6" i="46"/>
  <c r="N7"/>
  <c r="N8"/>
  <c r="N9"/>
  <c r="N10"/>
  <c r="N11"/>
  <c r="N12"/>
  <c r="N13"/>
  <c r="N14"/>
  <c r="N15"/>
  <c r="N16"/>
  <c r="N17"/>
  <c r="N18"/>
  <c r="N19"/>
  <c r="N20"/>
  <c r="N21"/>
  <c r="N22"/>
  <c r="N23"/>
  <c r="N24"/>
  <c r="N25"/>
  <c r="N26"/>
  <c r="N27"/>
  <c r="N28"/>
  <c r="N29"/>
  <c r="N30"/>
  <c r="N31"/>
  <c r="N32"/>
  <c r="N33"/>
  <c r="N34"/>
  <c r="N35"/>
  <c r="N36"/>
  <c r="N37"/>
  <c r="N38"/>
  <c r="N39"/>
  <c r="N40"/>
  <c r="N41"/>
  <c r="N42"/>
  <c r="N43"/>
  <c r="N44"/>
  <c r="N45"/>
  <c r="B24" i="39"/>
  <c r="B20" i="35"/>
  <c r="F60" i="32" l="1"/>
  <c r="B16" i="26" l="1"/>
  <c r="D7" i="23" l="1"/>
  <c r="D6"/>
  <c r="D5"/>
  <c r="D4"/>
  <c r="D3"/>
  <c r="D21" i="22"/>
  <c r="D22"/>
  <c r="D23"/>
  <c r="D24"/>
  <c r="D25"/>
  <c r="D26"/>
  <c r="D27"/>
  <c r="D28"/>
  <c r="D29"/>
  <c r="D30"/>
  <c r="D31"/>
  <c r="D32"/>
  <c r="D20"/>
  <c r="D13"/>
  <c r="D14"/>
  <c r="D15"/>
  <c r="D16"/>
  <c r="D17"/>
  <c r="D18"/>
  <c r="D19"/>
  <c r="D12"/>
  <c r="D8"/>
  <c r="D9"/>
  <c r="D10"/>
  <c r="D11"/>
  <c r="D7"/>
  <c r="D4"/>
  <c r="D5"/>
  <c r="D6"/>
  <c r="D3"/>
  <c r="D5" i="17" l="1"/>
  <c r="I6" i="21" l="1"/>
  <c r="I7"/>
  <c r="I8"/>
  <c r="I9"/>
  <c r="I10"/>
  <c r="I11"/>
  <c r="I12"/>
  <c r="I13"/>
  <c r="I14"/>
  <c r="I15"/>
  <c r="I16"/>
  <c r="I17"/>
  <c r="I18"/>
  <c r="I19"/>
  <c r="I20"/>
  <c r="I21"/>
  <c r="I23"/>
  <c r="I25"/>
  <c r="I27"/>
  <c r="I28"/>
  <c r="I29"/>
  <c r="I30"/>
  <c r="I31"/>
  <c r="I32"/>
  <c r="H32" l="1"/>
  <c r="L32" s="1"/>
  <c r="G32"/>
  <c r="H31"/>
  <c r="L31" s="1"/>
  <c r="G31"/>
  <c r="H30"/>
  <c r="L30" s="1"/>
  <c r="G30"/>
  <c r="H29"/>
  <c r="L29" s="1"/>
  <c r="G29"/>
  <c r="H28"/>
  <c r="L28" s="1"/>
  <c r="G28"/>
  <c r="H27"/>
  <c r="L27" s="1"/>
  <c r="G27"/>
  <c r="H26"/>
  <c r="L26" s="1"/>
  <c r="G26"/>
  <c r="H25"/>
  <c r="L25" s="1"/>
  <c r="G25"/>
  <c r="H24"/>
  <c r="L24" s="1"/>
  <c r="G24"/>
  <c r="H23"/>
  <c r="L23" s="1"/>
  <c r="G23"/>
  <c r="H22"/>
  <c r="L22" s="1"/>
  <c r="G22"/>
  <c r="H21"/>
  <c r="L21" s="1"/>
  <c r="G21"/>
  <c r="H20"/>
  <c r="L20" s="1"/>
  <c r="G20"/>
  <c r="H19"/>
  <c r="L19" s="1"/>
  <c r="G19"/>
  <c r="H18"/>
  <c r="L18" s="1"/>
  <c r="G18"/>
  <c r="H17"/>
  <c r="L17" s="1"/>
  <c r="G17"/>
  <c r="H16"/>
  <c r="L16" s="1"/>
  <c r="G16"/>
  <c r="H15"/>
  <c r="L15" s="1"/>
  <c r="G15"/>
  <c r="H14"/>
  <c r="L14" s="1"/>
  <c r="G14"/>
  <c r="H13"/>
  <c r="L13" s="1"/>
  <c r="G13"/>
  <c r="H12"/>
  <c r="L12" s="1"/>
  <c r="G12"/>
  <c r="H11"/>
  <c r="L11" s="1"/>
  <c r="G11"/>
  <c r="H10"/>
  <c r="L10" s="1"/>
  <c r="G10"/>
  <c r="H9"/>
  <c r="L9" s="1"/>
  <c r="G9"/>
  <c r="H8"/>
  <c r="L8" s="1"/>
  <c r="G8"/>
  <c r="H7"/>
  <c r="L7" s="1"/>
  <c r="G7"/>
  <c r="H6"/>
  <c r="L6" s="1"/>
  <c r="G6"/>
  <c r="J22" l="1"/>
  <c r="J26"/>
  <c r="J24"/>
  <c r="J6"/>
  <c r="J7"/>
  <c r="J8"/>
  <c r="J10"/>
  <c r="J12"/>
  <c r="J14"/>
  <c r="J16"/>
  <c r="J18"/>
  <c r="J20"/>
  <c r="J23"/>
  <c r="J27"/>
  <c r="J29"/>
  <c r="J31"/>
  <c r="J9"/>
  <c r="J11"/>
  <c r="J13"/>
  <c r="J15"/>
  <c r="J17"/>
  <c r="J19"/>
  <c r="J21"/>
  <c r="J25"/>
  <c r="J28"/>
  <c r="J30"/>
  <c r="J32"/>
  <c r="D10" i="20" l="1"/>
  <c r="D11"/>
  <c r="D12"/>
  <c r="D13"/>
  <c r="D14"/>
  <c r="D15"/>
  <c r="D5"/>
  <c r="D6"/>
  <c r="D7"/>
  <c r="D8"/>
  <c r="D9"/>
  <c r="D4"/>
  <c r="D16" i="19"/>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15"/>
  <c r="D4" i="17"/>
  <c r="D6"/>
  <c r="D7"/>
  <c r="D8"/>
  <c r="D9"/>
  <c r="D10"/>
  <c r="D11"/>
  <c r="D12"/>
  <c r="D13"/>
  <c r="D14"/>
  <c r="D15"/>
  <c r="D16"/>
  <c r="D17"/>
  <c r="D18"/>
  <c r="D19"/>
  <c r="D20"/>
  <c r="D21"/>
  <c r="D22"/>
  <c r="D23"/>
  <c r="D24"/>
  <c r="D25"/>
  <c r="D26"/>
  <c r="D27"/>
  <c r="D28"/>
  <c r="D29"/>
  <c r="D30"/>
  <c r="D3"/>
  <c r="J10" i="16"/>
  <c r="J9"/>
  <c r="J8"/>
  <c r="J19"/>
  <c r="J18"/>
  <c r="J17"/>
  <c r="J16"/>
  <c r="J15"/>
  <c r="J14"/>
  <c r="J13"/>
  <c r="J12"/>
  <c r="J11"/>
  <c r="J7"/>
  <c r="J6"/>
  <c r="M160" i="14"/>
  <c r="M159"/>
  <c r="M158"/>
  <c r="M157"/>
  <c r="M156"/>
  <c r="M155"/>
  <c r="M154"/>
  <c r="M152"/>
  <c r="M151"/>
  <c r="M150"/>
  <c r="M148"/>
  <c r="M146"/>
  <c r="M145"/>
  <c r="M144"/>
  <c r="M143"/>
  <c r="M142"/>
  <c r="M140"/>
  <c r="M139"/>
  <c r="M138"/>
  <c r="M137"/>
  <c r="M136"/>
  <c r="M134"/>
  <c r="M132"/>
  <c r="M131"/>
  <c r="M130"/>
  <c r="M129"/>
  <c r="M128"/>
  <c r="M127"/>
  <c r="M126"/>
  <c r="M125"/>
  <c r="M124"/>
  <c r="M123"/>
  <c r="M122"/>
  <c r="M120"/>
  <c r="M119"/>
  <c r="M117"/>
  <c r="M116"/>
  <c r="M115"/>
  <c r="M114"/>
  <c r="M113"/>
  <c r="M112"/>
  <c r="M111"/>
  <c r="M109"/>
  <c r="M108"/>
  <c r="M106"/>
  <c r="M105"/>
  <c r="M104"/>
  <c r="M103"/>
  <c r="M102"/>
  <c r="M101"/>
  <c r="M100"/>
  <c r="M99"/>
  <c r="M98"/>
  <c r="M97"/>
  <c r="M96"/>
  <c r="M95"/>
  <c r="M94"/>
  <c r="M93"/>
  <c r="M92"/>
  <c r="M91"/>
  <c r="E91" s="1"/>
  <c r="M72"/>
  <c r="E72" s="1"/>
  <c r="M84"/>
  <c r="M83"/>
  <c r="M81"/>
  <c r="M80"/>
  <c r="M78"/>
  <c r="M77"/>
  <c r="M75"/>
  <c r="M74"/>
  <c r="M73"/>
  <c r="M65"/>
  <c r="M64"/>
  <c r="M62"/>
  <c r="M61"/>
  <c r="M60"/>
  <c r="M59"/>
  <c r="M58"/>
  <c r="M57"/>
  <c r="M56"/>
  <c r="M54"/>
  <c r="M53"/>
  <c r="M52"/>
  <c r="M51"/>
  <c r="M49"/>
  <c r="M48"/>
  <c r="M47"/>
  <c r="M39"/>
  <c r="M38"/>
  <c r="M37"/>
  <c r="M36"/>
  <c r="M35"/>
  <c r="M34"/>
  <c r="M32"/>
  <c r="M31"/>
  <c r="M30"/>
  <c r="M29"/>
  <c r="M27"/>
  <c r="M26"/>
  <c r="M25"/>
  <c r="M24"/>
  <c r="M23"/>
  <c r="M22"/>
  <c r="M21"/>
  <c r="M20"/>
  <c r="M19"/>
  <c r="M18"/>
  <c r="M17"/>
  <c r="M16"/>
  <c r="M14"/>
  <c r="M13"/>
  <c r="M12"/>
  <c r="M11"/>
  <c r="M10"/>
  <c r="M9"/>
  <c r="M8"/>
  <c r="N8" s="1"/>
  <c r="M7"/>
  <c r="N7" s="1"/>
  <c r="E7" s="1"/>
  <c r="H21" i="13"/>
  <c r="I21"/>
  <c r="J21"/>
  <c r="K21"/>
  <c r="L21"/>
  <c r="N21"/>
  <c r="L52" i="12"/>
  <c r="L51"/>
  <c r="L50"/>
  <c r="L49"/>
  <c r="L48"/>
  <c r="L47"/>
  <c r="L46"/>
  <c r="L45"/>
  <c r="L44"/>
  <c r="L43"/>
  <c r="L42"/>
  <c r="L41"/>
  <c r="L40"/>
  <c r="L39"/>
  <c r="L38"/>
  <c r="L36"/>
  <c r="L35"/>
  <c r="L34"/>
  <c r="L33"/>
  <c r="L32"/>
  <c r="L31"/>
  <c r="L30"/>
  <c r="L29"/>
  <c r="L28"/>
  <c r="L27"/>
  <c r="L26"/>
  <c r="L25"/>
  <c r="L24"/>
  <c r="L23"/>
  <c r="L22"/>
  <c r="L21"/>
  <c r="L19"/>
  <c r="L18"/>
  <c r="L16"/>
  <c r="L15"/>
  <c r="L14"/>
  <c r="L13"/>
  <c r="L12"/>
  <c r="L11"/>
  <c r="L10"/>
  <c r="L9"/>
  <c r="L8"/>
  <c r="L7"/>
  <c r="I18" i="11"/>
  <c r="I17"/>
  <c r="I16"/>
  <c r="I15"/>
  <c r="I14"/>
  <c r="I13"/>
  <c r="I12"/>
  <c r="I11"/>
  <c r="K78" i="10"/>
  <c r="K77"/>
  <c r="K76"/>
  <c r="K74"/>
  <c r="K73"/>
  <c r="K72"/>
  <c r="K71"/>
  <c r="K70"/>
  <c r="K69"/>
  <c r="K67"/>
  <c r="K66"/>
  <c r="K65"/>
  <c r="K64"/>
  <c r="K63"/>
  <c r="K62"/>
  <c r="K60"/>
  <c r="K59"/>
  <c r="K58"/>
  <c r="K57"/>
  <c r="K56"/>
  <c r="K55"/>
  <c r="K53"/>
  <c r="K52"/>
  <c r="K51"/>
  <c r="K50"/>
  <c r="K49"/>
  <c r="K48"/>
  <c r="K46"/>
  <c r="K45"/>
  <c r="K44"/>
  <c r="K43"/>
  <c r="K42"/>
  <c r="K40"/>
  <c r="K39"/>
  <c r="K38"/>
  <c r="K37"/>
  <c r="K36"/>
  <c r="K35"/>
  <c r="K34"/>
  <c r="K32"/>
  <c r="K31"/>
  <c r="K30"/>
  <c r="K29"/>
  <c r="K28"/>
  <c r="K27"/>
  <c r="K26"/>
  <c r="C7" i="9"/>
  <c r="E7" s="1"/>
  <c r="C8"/>
  <c r="E8" s="1"/>
  <c r="C9"/>
  <c r="E9" s="1"/>
  <c r="C10"/>
  <c r="E10" s="1"/>
  <c r="C11"/>
  <c r="E11" s="1"/>
  <c r="C12"/>
  <c r="E12" s="1"/>
  <c r="C13"/>
  <c r="E13" s="1"/>
  <c r="C14"/>
  <c r="E14" s="1"/>
  <c r="C16"/>
  <c r="E16" s="1"/>
  <c r="C17"/>
  <c r="E17" s="1"/>
  <c r="C18"/>
  <c r="E18" s="1"/>
  <c r="C19"/>
  <c r="E19" s="1"/>
  <c r="C20"/>
  <c r="E20" s="1"/>
  <c r="C21"/>
  <c r="E21" s="1"/>
  <c r="C22"/>
  <c r="E22" s="1"/>
  <c r="C23"/>
  <c r="E23" s="1"/>
  <c r="C25"/>
  <c r="E25" s="1"/>
  <c r="C26"/>
  <c r="E26" s="1"/>
  <c r="C27"/>
  <c r="E27" s="1"/>
  <c r="C28"/>
  <c r="E28" s="1"/>
  <c r="C29"/>
  <c r="E29" s="1"/>
  <c r="C30"/>
  <c r="E30" s="1"/>
  <c r="C31"/>
  <c r="E31" s="1"/>
  <c r="C32"/>
  <c r="E32" s="1"/>
  <c r="C33"/>
  <c r="E33" s="1"/>
  <c r="C34"/>
  <c r="E34" s="1"/>
  <c r="C36"/>
  <c r="E36" s="1"/>
  <c r="C37"/>
  <c r="E37" s="1"/>
  <c r="C38"/>
  <c r="E38" s="1"/>
  <c r="C40"/>
  <c r="E40" s="1"/>
  <c r="C41"/>
  <c r="E41" s="1"/>
  <c r="C42"/>
  <c r="E42" s="1"/>
  <c r="C43"/>
  <c r="E43" s="1"/>
  <c r="C44"/>
  <c r="E44" s="1"/>
  <c r="C45"/>
  <c r="E45" s="1"/>
  <c r="C46"/>
  <c r="E46" s="1"/>
  <c r="C47"/>
  <c r="E47" s="1"/>
  <c r="C48"/>
  <c r="E48" s="1"/>
  <c r="C6"/>
  <c r="E6" s="1"/>
  <c r="N35" i="7"/>
  <c r="N34"/>
  <c r="L35"/>
  <c r="L34"/>
  <c r="J35"/>
  <c r="J34"/>
  <c r="E36"/>
  <c r="F21"/>
  <c r="F22"/>
  <c r="F23"/>
  <c r="F24"/>
  <c r="F25"/>
  <c r="F26"/>
  <c r="F27"/>
  <c r="F20"/>
  <c r="S6" i="3"/>
  <c r="S7"/>
  <c r="S8"/>
  <c r="S9"/>
  <c r="S10"/>
  <c r="S11"/>
  <c r="S12"/>
  <c r="S13"/>
  <c r="S14"/>
  <c r="H16" i="10"/>
  <c r="J16"/>
  <c r="D16" s="1"/>
  <c r="J13"/>
  <c r="D13" s="1"/>
  <c r="J14"/>
  <c r="D14" s="1"/>
  <c r="J15"/>
  <c r="D15" s="1"/>
  <c r="J12"/>
  <c r="E12" s="1"/>
  <c r="H12"/>
  <c r="J8"/>
  <c r="J9"/>
  <c r="J10"/>
  <c r="J7"/>
  <c r="E7" s="1"/>
  <c r="J6"/>
  <c r="D6" s="1"/>
  <c r="K66" i="8"/>
  <c r="K65"/>
  <c r="K64"/>
  <c r="K63"/>
  <c r="K62"/>
  <c r="K61"/>
  <c r="K60"/>
  <c r="K59"/>
  <c r="K58"/>
  <c r="K57"/>
  <c r="K56"/>
  <c r="K55"/>
  <c r="J55" s="1"/>
  <c r="H55" s="1"/>
  <c r="K53"/>
  <c r="J53" s="1"/>
  <c r="J41"/>
  <c r="J42"/>
  <c r="J43"/>
  <c r="J44"/>
  <c r="J45"/>
  <c r="J46"/>
  <c r="J47"/>
  <c r="J48"/>
  <c r="J49"/>
  <c r="J50"/>
  <c r="J51"/>
  <c r="J52"/>
  <c r="J54"/>
  <c r="J56"/>
  <c r="J57"/>
  <c r="J58"/>
  <c r="J59"/>
  <c r="J60"/>
  <c r="J61"/>
  <c r="J62"/>
  <c r="J63"/>
  <c r="J64"/>
  <c r="J65"/>
  <c r="J66"/>
  <c r="J21"/>
  <c r="J22"/>
  <c r="J23"/>
  <c r="J24"/>
  <c r="J25"/>
  <c r="J26"/>
  <c r="J27"/>
  <c r="J28"/>
  <c r="J29"/>
  <c r="J30"/>
  <c r="J31"/>
  <c r="J32"/>
  <c r="J33"/>
  <c r="J34"/>
  <c r="J35"/>
  <c r="J36"/>
  <c r="D36" s="1"/>
  <c r="J37"/>
  <c r="J38"/>
  <c r="J39"/>
  <c r="J40"/>
  <c r="J20"/>
  <c r="K52"/>
  <c r="K50"/>
  <c r="K49"/>
  <c r="K48"/>
  <c r="K46"/>
  <c r="K45"/>
  <c r="K43"/>
  <c r="K42"/>
  <c r="K41"/>
  <c r="K40"/>
  <c r="K39"/>
  <c r="K38"/>
  <c r="K36"/>
  <c r="K35"/>
  <c r="K34"/>
  <c r="K33"/>
  <c r="K32"/>
  <c r="K31"/>
  <c r="K30"/>
  <c r="K29"/>
  <c r="K28"/>
  <c r="K27"/>
  <c r="K22"/>
  <c r="K25"/>
  <c r="K24"/>
  <c r="K23"/>
  <c r="K20"/>
  <c r="K19"/>
  <c r="K18"/>
  <c r="K17"/>
  <c r="K16"/>
  <c r="K15"/>
  <c r="K14"/>
  <c r="K13"/>
  <c r="K12"/>
  <c r="K11"/>
  <c r="K10"/>
  <c r="K9"/>
  <c r="K8"/>
  <c r="K7"/>
  <c r="K6"/>
  <c r="J20" i="6"/>
  <c r="J6"/>
  <c r="J19"/>
  <c r="J18"/>
  <c r="J17"/>
  <c r="J16"/>
  <c r="J15"/>
  <c r="J14"/>
  <c r="J13"/>
  <c r="J12"/>
  <c r="J11"/>
  <c r="J10"/>
  <c r="J9"/>
  <c r="J8"/>
  <c r="J7"/>
  <c r="H36" i="5"/>
  <c r="H35"/>
  <c r="H34"/>
  <c r="H33"/>
  <c r="H31"/>
  <c r="H30"/>
  <c r="H29"/>
  <c r="H28"/>
  <c r="H27"/>
  <c r="H26"/>
  <c r="H25"/>
  <c r="H24"/>
  <c r="H23"/>
  <c r="H22"/>
  <c r="H21"/>
  <c r="H20"/>
  <c r="H19"/>
  <c r="H18"/>
  <c r="H17"/>
  <c r="H15"/>
  <c r="H14"/>
  <c r="H13"/>
  <c r="H12"/>
  <c r="H11"/>
  <c r="H10"/>
  <c r="H9"/>
  <c r="H8"/>
  <c r="H7"/>
  <c r="H6"/>
  <c r="D12" i="10" l="1"/>
  <c r="D7"/>
  <c r="H7"/>
  <c r="G12"/>
  <c r="F7"/>
  <c r="E6"/>
  <c r="G7"/>
  <c r="G12" i="16"/>
  <c r="K9" i="3"/>
  <c r="K7" i="2"/>
  <c r="H12" i="3"/>
  <c r="I12"/>
  <c r="J12"/>
  <c r="K12"/>
  <c r="L12"/>
  <c r="N12"/>
  <c r="N31" i="2"/>
  <c r="L31"/>
  <c r="K31"/>
  <c r="J31"/>
  <c r="I31"/>
  <c r="H31"/>
  <c r="N30"/>
  <c r="H30"/>
  <c r="I30"/>
  <c r="J30"/>
  <c r="K30"/>
  <c r="L30"/>
  <c r="N8" i="3"/>
  <c r="N7"/>
  <c r="N9"/>
  <c r="N10"/>
  <c r="N11"/>
  <c r="N13"/>
  <c r="N14"/>
  <c r="N6"/>
  <c r="K6"/>
  <c r="H6"/>
  <c r="K6" i="2"/>
  <c r="N6"/>
  <c r="L6"/>
  <c r="G36" i="5"/>
  <c r="F36"/>
  <c r="E36"/>
  <c r="G35"/>
  <c r="F35"/>
  <c r="E35"/>
  <c r="G26"/>
  <c r="F26"/>
  <c r="E26"/>
  <c r="G25"/>
  <c r="F25"/>
  <c r="E25"/>
  <c r="G24"/>
  <c r="F24"/>
  <c r="E24"/>
  <c r="G23"/>
  <c r="F23"/>
  <c r="E23"/>
  <c r="G22"/>
  <c r="F22"/>
  <c r="E22"/>
  <c r="G21"/>
  <c r="F21"/>
  <c r="E21"/>
  <c r="G20"/>
  <c r="F20"/>
  <c r="E20"/>
  <c r="G19"/>
  <c r="F19"/>
  <c r="E19"/>
  <c r="G18"/>
  <c r="F18"/>
  <c r="E18"/>
  <c r="G17"/>
  <c r="F17"/>
  <c r="E17"/>
  <c r="G31"/>
  <c r="F31"/>
  <c r="E31"/>
  <c r="G30"/>
  <c r="F30"/>
  <c r="E30"/>
  <c r="G29"/>
  <c r="F29"/>
  <c r="E29"/>
  <c r="G28"/>
  <c r="F28"/>
  <c r="E28"/>
  <c r="G27"/>
  <c r="F27"/>
  <c r="E27"/>
  <c r="G34"/>
  <c r="F34"/>
  <c r="E34"/>
  <c r="G33"/>
  <c r="F33"/>
  <c r="E33"/>
  <c r="G16"/>
  <c r="F16"/>
  <c r="E16"/>
  <c r="G15"/>
  <c r="F15"/>
  <c r="E15"/>
  <c r="G14"/>
  <c r="F14"/>
  <c r="E14"/>
  <c r="G13"/>
  <c r="F13"/>
  <c r="E13"/>
  <c r="G12"/>
  <c r="F12"/>
  <c r="E12"/>
  <c r="G11"/>
  <c r="F11"/>
  <c r="E11"/>
  <c r="G10"/>
  <c r="F10"/>
  <c r="E10"/>
  <c r="G9"/>
  <c r="F9"/>
  <c r="E9"/>
  <c r="G8"/>
  <c r="F8"/>
  <c r="E8"/>
  <c r="G7"/>
  <c r="F7"/>
  <c r="E7"/>
  <c r="G6"/>
  <c r="F6"/>
  <c r="E6"/>
  <c r="F7" i="6"/>
  <c r="G7"/>
  <c r="F8"/>
  <c r="G8"/>
  <c r="F9"/>
  <c r="G9"/>
  <c r="F10"/>
  <c r="G10"/>
  <c r="F11"/>
  <c r="G11"/>
  <c r="F12"/>
  <c r="G12"/>
  <c r="F13"/>
  <c r="G13"/>
  <c r="F14"/>
  <c r="G14"/>
  <c r="F15"/>
  <c r="G15"/>
  <c r="F16"/>
  <c r="G16"/>
  <c r="F17"/>
  <c r="G17"/>
  <c r="F18"/>
  <c r="G18"/>
  <c r="F19"/>
  <c r="G19"/>
  <c r="F20"/>
  <c r="G20"/>
  <c r="G6"/>
  <c r="F6"/>
  <c r="I7"/>
  <c r="I8"/>
  <c r="I9"/>
  <c r="I10"/>
  <c r="I11"/>
  <c r="I12"/>
  <c r="I13"/>
  <c r="I14"/>
  <c r="I15"/>
  <c r="I16"/>
  <c r="I17"/>
  <c r="I18"/>
  <c r="I19"/>
  <c r="I20"/>
  <c r="I6"/>
  <c r="F7" i="4"/>
  <c r="G7"/>
  <c r="F8"/>
  <c r="G8"/>
  <c r="F9"/>
  <c r="G9"/>
  <c r="F10"/>
  <c r="G10"/>
  <c r="F11"/>
  <c r="G11"/>
  <c r="F12"/>
  <c r="G12"/>
  <c r="F13"/>
  <c r="G13"/>
  <c r="F14"/>
  <c r="G14"/>
  <c r="F15"/>
  <c r="G15"/>
  <c r="F16"/>
  <c r="G16"/>
  <c r="F17"/>
  <c r="G17"/>
  <c r="F18"/>
  <c r="G18"/>
  <c r="F19"/>
  <c r="G19"/>
  <c r="F20"/>
  <c r="G20"/>
  <c r="G6"/>
  <c r="F6"/>
  <c r="I7"/>
  <c r="I8"/>
  <c r="I9"/>
  <c r="I10"/>
  <c r="I11"/>
  <c r="I12"/>
  <c r="I13"/>
  <c r="I14"/>
  <c r="I15"/>
  <c r="I16"/>
  <c r="I17"/>
  <c r="I18"/>
  <c r="I19"/>
  <c r="I20"/>
  <c r="I6"/>
  <c r="H8" i="2"/>
  <c r="I8"/>
  <c r="J8"/>
  <c r="K8"/>
  <c r="L8"/>
  <c r="H9"/>
  <c r="I9"/>
  <c r="J9"/>
  <c r="K9"/>
  <c r="L9"/>
  <c r="H10"/>
  <c r="I10"/>
  <c r="J10"/>
  <c r="K10"/>
  <c r="L10"/>
  <c r="H11"/>
  <c r="I11"/>
  <c r="J11"/>
  <c r="K11"/>
  <c r="L11"/>
  <c r="H12"/>
  <c r="I12"/>
  <c r="J12"/>
  <c r="K12"/>
  <c r="L12"/>
  <c r="H13"/>
  <c r="I13"/>
  <c r="J13"/>
  <c r="K13"/>
  <c r="L13"/>
  <c r="H14"/>
  <c r="I14"/>
  <c r="J14"/>
  <c r="K14"/>
  <c r="L14"/>
  <c r="H15"/>
  <c r="I15"/>
  <c r="J15"/>
  <c r="K15"/>
  <c r="L15"/>
  <c r="H16"/>
  <c r="I16"/>
  <c r="J16"/>
  <c r="K16"/>
  <c r="L16"/>
  <c r="H17"/>
  <c r="I17"/>
  <c r="J17"/>
  <c r="K17"/>
  <c r="L17"/>
  <c r="H18"/>
  <c r="I18"/>
  <c r="J18"/>
  <c r="K18"/>
  <c r="L18"/>
  <c r="H19"/>
  <c r="I19"/>
  <c r="J19"/>
  <c r="K19"/>
  <c r="L19"/>
  <c r="H20"/>
  <c r="I20"/>
  <c r="J20"/>
  <c r="K20"/>
  <c r="L20"/>
  <c r="H21"/>
  <c r="I21"/>
  <c r="J21"/>
  <c r="K21"/>
  <c r="L21"/>
  <c r="H22"/>
  <c r="I22"/>
  <c r="J22"/>
  <c r="K22"/>
  <c r="L22"/>
  <c r="H23"/>
  <c r="I23"/>
  <c r="J23"/>
  <c r="K23"/>
  <c r="L23"/>
  <c r="H24"/>
  <c r="I24"/>
  <c r="J24"/>
  <c r="K24"/>
  <c r="L24"/>
  <c r="H25"/>
  <c r="I25"/>
  <c r="J25"/>
  <c r="K25"/>
  <c r="L25"/>
  <c r="H26"/>
  <c r="I26"/>
  <c r="J26"/>
  <c r="K26"/>
  <c r="L26"/>
  <c r="H27"/>
  <c r="I27"/>
  <c r="J27"/>
  <c r="K27"/>
  <c r="L27"/>
  <c r="H28"/>
  <c r="I28"/>
  <c r="J28"/>
  <c r="K28"/>
  <c r="L28"/>
  <c r="H29"/>
  <c r="I29"/>
  <c r="J29"/>
  <c r="K29"/>
  <c r="L29"/>
  <c r="J6"/>
  <c r="I6"/>
  <c r="H6"/>
  <c r="D7" i="16"/>
  <c r="E7"/>
  <c r="F7"/>
  <c r="G7"/>
  <c r="D8"/>
  <c r="E8"/>
  <c r="F8"/>
  <c r="G8"/>
  <c r="D9"/>
  <c r="E9"/>
  <c r="F9"/>
  <c r="G9"/>
  <c r="D10"/>
  <c r="E10"/>
  <c r="F10"/>
  <c r="G10"/>
  <c r="D11"/>
  <c r="E11"/>
  <c r="F11"/>
  <c r="G11"/>
  <c r="D12"/>
  <c r="E12"/>
  <c r="F12"/>
  <c r="D13"/>
  <c r="E13"/>
  <c r="F13"/>
  <c r="G13"/>
  <c r="D14"/>
  <c r="E14"/>
  <c r="F14"/>
  <c r="G14"/>
  <c r="D15"/>
  <c r="E15"/>
  <c r="F15"/>
  <c r="G15"/>
  <c r="D16"/>
  <c r="E16"/>
  <c r="F16"/>
  <c r="G16"/>
  <c r="D17"/>
  <c r="E17"/>
  <c r="F17"/>
  <c r="G17"/>
  <c r="D18"/>
  <c r="E18"/>
  <c r="F18"/>
  <c r="G18"/>
  <c r="D19"/>
  <c r="E19"/>
  <c r="F19"/>
  <c r="G19"/>
  <c r="G6"/>
  <c r="F6"/>
  <c r="E6"/>
  <c r="D6"/>
  <c r="I7"/>
  <c r="I8"/>
  <c r="I9"/>
  <c r="I10"/>
  <c r="I11"/>
  <c r="I12"/>
  <c r="I13"/>
  <c r="I14"/>
  <c r="I15"/>
  <c r="I16"/>
  <c r="I17"/>
  <c r="I18"/>
  <c r="I19"/>
  <c r="I6"/>
  <c r="J34" i="15"/>
  <c r="F34" s="1"/>
  <c r="J28"/>
  <c r="F28" s="1"/>
  <c r="J27"/>
  <c r="F27" s="1"/>
  <c r="J26"/>
  <c r="H26" s="1"/>
  <c r="J31"/>
  <c r="H31" s="1"/>
  <c r="J30"/>
  <c r="H30" s="1"/>
  <c r="J29"/>
  <c r="H29" s="1"/>
  <c r="J25"/>
  <c r="H25" s="1"/>
  <c r="J17"/>
  <c r="G17" s="1"/>
  <c r="J16"/>
  <c r="H16" s="1"/>
  <c r="J8"/>
  <c r="F8" s="1"/>
  <c r="J37"/>
  <c r="H37" s="1"/>
  <c r="J36"/>
  <c r="F36" s="1"/>
  <c r="J35"/>
  <c r="H35" s="1"/>
  <c r="J33"/>
  <c r="F33" s="1"/>
  <c r="J23"/>
  <c r="H23" s="1"/>
  <c r="J21"/>
  <c r="F21" s="1"/>
  <c r="J20"/>
  <c r="H20" s="1"/>
  <c r="J19"/>
  <c r="F19" s="1"/>
  <c r="J18"/>
  <c r="H18" s="1"/>
  <c r="J15"/>
  <c r="F15" s="1"/>
  <c r="J14"/>
  <c r="H14" s="1"/>
  <c r="J13"/>
  <c r="F13" s="1"/>
  <c r="J12"/>
  <c r="H12" s="1"/>
  <c r="J10"/>
  <c r="F10" s="1"/>
  <c r="J9"/>
  <c r="H9" s="1"/>
  <c r="J7"/>
  <c r="F7" s="1"/>
  <c r="J6"/>
  <c r="H6" s="1"/>
  <c r="H14" i="13"/>
  <c r="I14"/>
  <c r="J14"/>
  <c r="K14"/>
  <c r="L14"/>
  <c r="H15"/>
  <c r="I15"/>
  <c r="J15"/>
  <c r="K15"/>
  <c r="L15"/>
  <c r="H16"/>
  <c r="I16"/>
  <c r="J16"/>
  <c r="K16"/>
  <c r="L16"/>
  <c r="H17"/>
  <c r="I17"/>
  <c r="J17"/>
  <c r="K17"/>
  <c r="L17"/>
  <c r="H18"/>
  <c r="I18"/>
  <c r="J18"/>
  <c r="K18"/>
  <c r="L18"/>
  <c r="H19"/>
  <c r="I19"/>
  <c r="J19"/>
  <c r="K19"/>
  <c r="L19"/>
  <c r="H20"/>
  <c r="I20"/>
  <c r="J20"/>
  <c r="K20"/>
  <c r="L20"/>
  <c r="H7"/>
  <c r="I7"/>
  <c r="J7"/>
  <c r="K7"/>
  <c r="L7"/>
  <c r="H8"/>
  <c r="I8"/>
  <c r="J8"/>
  <c r="K8"/>
  <c r="L8"/>
  <c r="H9"/>
  <c r="I9"/>
  <c r="J9"/>
  <c r="K9"/>
  <c r="L9"/>
  <c r="L6"/>
  <c r="K6"/>
  <c r="J6"/>
  <c r="I6"/>
  <c r="H6"/>
  <c r="K13"/>
  <c r="J13"/>
  <c r="I13"/>
  <c r="N92" i="14"/>
  <c r="E93"/>
  <c r="N94"/>
  <c r="E95"/>
  <c r="N96"/>
  <c r="E97"/>
  <c r="N98"/>
  <c r="E99"/>
  <c r="N100"/>
  <c r="E101"/>
  <c r="N102"/>
  <c r="E103"/>
  <c r="N104"/>
  <c r="E105"/>
  <c r="N106"/>
  <c r="E108"/>
  <c r="N109"/>
  <c r="E111"/>
  <c r="N112"/>
  <c r="N113"/>
  <c r="N114"/>
  <c r="N115"/>
  <c r="N116"/>
  <c r="N117"/>
  <c r="N119"/>
  <c r="E120"/>
  <c r="N122"/>
  <c r="N123"/>
  <c r="N124"/>
  <c r="N125"/>
  <c r="N126"/>
  <c r="N127"/>
  <c r="N128"/>
  <c r="N129"/>
  <c r="N130"/>
  <c r="N131"/>
  <c r="N132"/>
  <c r="E134"/>
  <c r="N136"/>
  <c r="N137"/>
  <c r="N138"/>
  <c r="N139"/>
  <c r="N140"/>
  <c r="E142"/>
  <c r="N143"/>
  <c r="N144"/>
  <c r="N145"/>
  <c r="N146"/>
  <c r="M147"/>
  <c r="N148"/>
  <c r="M149"/>
  <c r="N149" s="1"/>
  <c r="N150"/>
  <c r="N151"/>
  <c r="N152"/>
  <c r="E154"/>
  <c r="N155"/>
  <c r="N156"/>
  <c r="N157"/>
  <c r="N158"/>
  <c r="N159"/>
  <c r="N160"/>
  <c r="N91"/>
  <c r="H13" i="13"/>
  <c r="N14"/>
  <c r="N15"/>
  <c r="N16"/>
  <c r="N17"/>
  <c r="N18"/>
  <c r="N19"/>
  <c r="N20"/>
  <c r="N13"/>
  <c r="L13"/>
  <c r="E28" i="15" l="1"/>
  <c r="E16"/>
  <c r="D16"/>
  <c r="D28"/>
  <c r="H28"/>
  <c r="G16"/>
  <c r="G28"/>
  <c r="E8"/>
  <c r="F16"/>
  <c r="E25"/>
  <c r="F29"/>
  <c r="E9"/>
  <c r="F31"/>
  <c r="E106" i="14"/>
  <c r="E104"/>
  <c r="E102"/>
  <c r="E100"/>
  <c r="E98"/>
  <c r="E96"/>
  <c r="E94"/>
  <c r="E92"/>
  <c r="E109"/>
  <c r="E117"/>
  <c r="E115"/>
  <c r="E113"/>
  <c r="E119"/>
  <c r="E122"/>
  <c r="E131"/>
  <c r="E129"/>
  <c r="E127"/>
  <c r="E125"/>
  <c r="E123"/>
  <c r="E136"/>
  <c r="E139"/>
  <c r="E137"/>
  <c r="E146"/>
  <c r="E144"/>
  <c r="E148"/>
  <c r="E151"/>
  <c r="E149"/>
  <c r="E160"/>
  <c r="E158"/>
  <c r="E156"/>
  <c r="N154"/>
  <c r="L154" s="1"/>
  <c r="N142"/>
  <c r="L142" s="1"/>
  <c r="N134"/>
  <c r="L134" s="1"/>
  <c r="N120"/>
  <c r="L120" s="1"/>
  <c r="I120" s="1"/>
  <c r="N111"/>
  <c r="L111" s="1"/>
  <c r="N108"/>
  <c r="L108" s="1"/>
  <c r="N105"/>
  <c r="J105" s="1"/>
  <c r="N103"/>
  <c r="J103" s="1"/>
  <c r="N101"/>
  <c r="J101" s="1"/>
  <c r="N99"/>
  <c r="L99" s="1"/>
  <c r="N97"/>
  <c r="J97" s="1"/>
  <c r="N95"/>
  <c r="N93"/>
  <c r="L93" s="1"/>
  <c r="E116"/>
  <c r="E114"/>
  <c r="E112"/>
  <c r="E132"/>
  <c r="E130"/>
  <c r="E128"/>
  <c r="E126"/>
  <c r="E124"/>
  <c r="E140"/>
  <c r="E138"/>
  <c r="E145"/>
  <c r="E143"/>
  <c r="E152"/>
  <c r="E150"/>
  <c r="E159"/>
  <c r="E157"/>
  <c r="E155"/>
  <c r="L7" i="2"/>
  <c r="H7"/>
  <c r="I7"/>
  <c r="J7"/>
  <c r="E34" i="15"/>
  <c r="H34"/>
  <c r="G34"/>
  <c r="D34"/>
  <c r="G31"/>
  <c r="E31"/>
  <c r="D31"/>
  <c r="F30"/>
  <c r="G29"/>
  <c r="E29"/>
  <c r="D29"/>
  <c r="D27"/>
  <c r="H27"/>
  <c r="G27"/>
  <c r="E27"/>
  <c r="F26"/>
  <c r="F25"/>
  <c r="E26"/>
  <c r="G26"/>
  <c r="D26"/>
  <c r="E30"/>
  <c r="G25"/>
  <c r="G30"/>
  <c r="D25"/>
  <c r="D30"/>
  <c r="E35"/>
  <c r="D8"/>
  <c r="H8"/>
  <c r="F17"/>
  <c r="E20"/>
  <c r="G8"/>
  <c r="E17"/>
  <c r="D17"/>
  <c r="H17"/>
  <c r="E14"/>
  <c r="F14"/>
  <c r="F9"/>
  <c r="F20"/>
  <c r="F35"/>
  <c r="G6"/>
  <c r="E10"/>
  <c r="G12"/>
  <c r="E15"/>
  <c r="G18"/>
  <c r="E21"/>
  <c r="G23"/>
  <c r="E36"/>
  <c r="G37"/>
  <c r="F6"/>
  <c r="F12"/>
  <c r="F18"/>
  <c r="F23"/>
  <c r="F37"/>
  <c r="E6"/>
  <c r="E7"/>
  <c r="G9"/>
  <c r="E12"/>
  <c r="E13"/>
  <c r="G14"/>
  <c r="E18"/>
  <c r="E19"/>
  <c r="G20"/>
  <c r="E23"/>
  <c r="E33"/>
  <c r="G35"/>
  <c r="E37"/>
  <c r="D7"/>
  <c r="H7"/>
  <c r="D10"/>
  <c r="H10"/>
  <c r="D13"/>
  <c r="H13"/>
  <c r="D15"/>
  <c r="H15"/>
  <c r="D19"/>
  <c r="H19"/>
  <c r="D21"/>
  <c r="H21"/>
  <c r="D33"/>
  <c r="H33"/>
  <c r="D36"/>
  <c r="H36"/>
  <c r="G7"/>
  <c r="G10"/>
  <c r="G13"/>
  <c r="G15"/>
  <c r="G19"/>
  <c r="G21"/>
  <c r="G33"/>
  <c r="G36"/>
  <c r="D6"/>
  <c r="D9"/>
  <c r="D12"/>
  <c r="D14"/>
  <c r="D18"/>
  <c r="D20"/>
  <c r="D23"/>
  <c r="D35"/>
  <c r="D37"/>
  <c r="L147" i="14"/>
  <c r="L92"/>
  <c r="L95"/>
  <c r="L96"/>
  <c r="I96" s="1"/>
  <c r="J98"/>
  <c r="L100"/>
  <c r="L102"/>
  <c r="L104"/>
  <c r="L106"/>
  <c r="J109"/>
  <c r="L112"/>
  <c r="J113"/>
  <c r="J114"/>
  <c r="L115"/>
  <c r="L116"/>
  <c r="J117"/>
  <c r="L119"/>
  <c r="L123"/>
  <c r="L124"/>
  <c r="J125"/>
  <c r="L127"/>
  <c r="L128"/>
  <c r="J129"/>
  <c r="J130"/>
  <c r="J131"/>
  <c r="L132"/>
  <c r="J136"/>
  <c r="J137"/>
  <c r="J138"/>
  <c r="J139"/>
  <c r="L140"/>
  <c r="J143"/>
  <c r="L144"/>
  <c r="J145"/>
  <c r="L146"/>
  <c r="L148"/>
  <c r="L149"/>
  <c r="L150"/>
  <c r="L151"/>
  <c r="L152"/>
  <c r="L155"/>
  <c r="L156"/>
  <c r="L157"/>
  <c r="L158"/>
  <c r="L159"/>
  <c r="L160"/>
  <c r="L91"/>
  <c r="J148"/>
  <c r="J144"/>
  <c r="J140"/>
  <c r="J132"/>
  <c r="J119"/>
  <c r="J116"/>
  <c r="J115"/>
  <c r="J102"/>
  <c r="J104"/>
  <c r="J106"/>
  <c r="J91"/>
  <c r="K22" i="12"/>
  <c r="G22" s="1"/>
  <c r="K23"/>
  <c r="I23" s="1"/>
  <c r="K24"/>
  <c r="G24" s="1"/>
  <c r="K25"/>
  <c r="I25" s="1"/>
  <c r="K26"/>
  <c r="F26" s="1"/>
  <c r="K27"/>
  <c r="F27" s="1"/>
  <c r="K28"/>
  <c r="G28" s="1"/>
  <c r="K29"/>
  <c r="I29" s="1"/>
  <c r="K30"/>
  <c r="G30" s="1"/>
  <c r="K31"/>
  <c r="H31" s="1"/>
  <c r="K32"/>
  <c r="G32" s="1"/>
  <c r="K33"/>
  <c r="H33" s="1"/>
  <c r="K34"/>
  <c r="G34" s="1"/>
  <c r="K35"/>
  <c r="I35" s="1"/>
  <c r="K36"/>
  <c r="H36" s="1"/>
  <c r="K38"/>
  <c r="H38" s="1"/>
  <c r="K39"/>
  <c r="G39" s="1"/>
  <c r="K40"/>
  <c r="F40" s="1"/>
  <c r="K41"/>
  <c r="F41" s="1"/>
  <c r="K42"/>
  <c r="H42" s="1"/>
  <c r="K43"/>
  <c r="G43" s="1"/>
  <c r="K44"/>
  <c r="I44" s="1"/>
  <c r="K45"/>
  <c r="F45" s="1"/>
  <c r="K46"/>
  <c r="I46" s="1"/>
  <c r="K47"/>
  <c r="G47" s="1"/>
  <c r="K48"/>
  <c r="G48" s="1"/>
  <c r="K49"/>
  <c r="G49" s="1"/>
  <c r="K50"/>
  <c r="F50" s="1"/>
  <c r="K51"/>
  <c r="F51" s="1"/>
  <c r="K52"/>
  <c r="G52" s="1"/>
  <c r="K21"/>
  <c r="H21" s="1"/>
  <c r="H27"/>
  <c r="H29" i="11"/>
  <c r="H28"/>
  <c r="E28" s="1"/>
  <c r="H27"/>
  <c r="H26"/>
  <c r="H24"/>
  <c r="H23"/>
  <c r="E23" s="1"/>
  <c r="H22"/>
  <c r="H21"/>
  <c r="E21" s="1"/>
  <c r="H20"/>
  <c r="H6"/>
  <c r="F6" s="1"/>
  <c r="H7"/>
  <c r="E7" s="1"/>
  <c r="H8"/>
  <c r="H9"/>
  <c r="E73" i="14"/>
  <c r="E74"/>
  <c r="E75"/>
  <c r="N73"/>
  <c r="J73" s="1"/>
  <c r="N74"/>
  <c r="J74" s="1"/>
  <c r="N75"/>
  <c r="J75" s="1"/>
  <c r="N77"/>
  <c r="J77" s="1"/>
  <c r="N78"/>
  <c r="L78" s="1"/>
  <c r="H78" s="1"/>
  <c r="N80"/>
  <c r="L80" s="1"/>
  <c r="I80" s="1"/>
  <c r="N81"/>
  <c r="L81" s="1"/>
  <c r="N83"/>
  <c r="J83" s="1"/>
  <c r="N84"/>
  <c r="J84" s="1"/>
  <c r="N72"/>
  <c r="L72" s="1"/>
  <c r="E84"/>
  <c r="E83"/>
  <c r="E81"/>
  <c r="E80"/>
  <c r="E78"/>
  <c r="E77"/>
  <c r="N9" i="2"/>
  <c r="N8"/>
  <c r="N7"/>
  <c r="N10"/>
  <c r="N11"/>
  <c r="N12"/>
  <c r="N13"/>
  <c r="N14"/>
  <c r="N15"/>
  <c r="N16"/>
  <c r="N17"/>
  <c r="N18"/>
  <c r="N19"/>
  <c r="N20"/>
  <c r="N21"/>
  <c r="N22"/>
  <c r="N23"/>
  <c r="N24"/>
  <c r="N25"/>
  <c r="N26"/>
  <c r="N27"/>
  <c r="N28"/>
  <c r="N29"/>
  <c r="H25" i="12" l="1"/>
  <c r="F22"/>
  <c r="F49"/>
  <c r="E45"/>
  <c r="I52"/>
  <c r="H44"/>
  <c r="I48"/>
  <c r="H45"/>
  <c r="G45"/>
  <c r="H49"/>
  <c r="G38"/>
  <c r="G25"/>
  <c r="G42"/>
  <c r="I50"/>
  <c r="F25"/>
  <c r="F26" i="11"/>
  <c r="F28"/>
  <c r="F48" i="12"/>
  <c r="I45"/>
  <c r="H41"/>
  <c r="F21"/>
  <c r="E26" i="11"/>
  <c r="L143" i="14"/>
  <c r="L139"/>
  <c r="L131"/>
  <c r="H131" s="1"/>
  <c r="L103"/>
  <c r="J108"/>
  <c r="J134"/>
  <c r="J146"/>
  <c r="L136"/>
  <c r="L145"/>
  <c r="L137"/>
  <c r="L129"/>
  <c r="H129" s="1"/>
  <c r="L125"/>
  <c r="F125" s="1"/>
  <c r="L117"/>
  <c r="I117" s="1"/>
  <c r="L113"/>
  <c r="H113" s="1"/>
  <c r="L109"/>
  <c r="I109" s="1"/>
  <c r="L105"/>
  <c r="L101"/>
  <c r="F101" s="1"/>
  <c r="L97"/>
  <c r="H97" s="1"/>
  <c r="J142"/>
  <c r="L138"/>
  <c r="L130"/>
  <c r="L126"/>
  <c r="I126" s="1"/>
  <c r="L122"/>
  <c r="H122" s="1"/>
  <c r="L114"/>
  <c r="I114" s="1"/>
  <c r="L98"/>
  <c r="I98" s="1"/>
  <c r="L94"/>
  <c r="F94" s="1"/>
  <c r="I93"/>
  <c r="J160"/>
  <c r="J158"/>
  <c r="J154"/>
  <c r="J159"/>
  <c r="I156"/>
  <c r="G156"/>
  <c r="H156"/>
  <c r="F156"/>
  <c r="I155"/>
  <c r="G155"/>
  <c r="H155"/>
  <c r="F155"/>
  <c r="I157"/>
  <c r="F157"/>
  <c r="G157"/>
  <c r="H157"/>
  <c r="J155"/>
  <c r="J156"/>
  <c r="J157"/>
  <c r="I159"/>
  <c r="F159"/>
  <c r="G159"/>
  <c r="H159"/>
  <c r="I154"/>
  <c r="F154"/>
  <c r="G154"/>
  <c r="H154"/>
  <c r="I158"/>
  <c r="F158"/>
  <c r="G158"/>
  <c r="H158"/>
  <c r="I160"/>
  <c r="F160"/>
  <c r="G160"/>
  <c r="H160"/>
  <c r="J126"/>
  <c r="I149"/>
  <c r="G149"/>
  <c r="F149"/>
  <c r="H149"/>
  <c r="I151"/>
  <c r="H151"/>
  <c r="F151"/>
  <c r="G151"/>
  <c r="I150"/>
  <c r="F150"/>
  <c r="G150"/>
  <c r="H150"/>
  <c r="I152"/>
  <c r="H152"/>
  <c r="F152"/>
  <c r="G152"/>
  <c r="J149"/>
  <c r="J150"/>
  <c r="J151"/>
  <c r="J152"/>
  <c r="J127"/>
  <c r="I130"/>
  <c r="I134"/>
  <c r="I128"/>
  <c r="G128"/>
  <c r="I127"/>
  <c r="G127"/>
  <c r="J128"/>
  <c r="F128"/>
  <c r="H127"/>
  <c r="H128"/>
  <c r="F127"/>
  <c r="I108"/>
  <c r="J123"/>
  <c r="I132"/>
  <c r="I124"/>
  <c r="G124"/>
  <c r="I123"/>
  <c r="G123"/>
  <c r="J120"/>
  <c r="J122"/>
  <c r="J124"/>
  <c r="F123"/>
  <c r="F124"/>
  <c r="H123"/>
  <c r="H124"/>
  <c r="J111"/>
  <c r="I119"/>
  <c r="G120"/>
  <c r="H120"/>
  <c r="F120"/>
  <c r="I111"/>
  <c r="G111"/>
  <c r="I112"/>
  <c r="G112"/>
  <c r="I115"/>
  <c r="J112"/>
  <c r="I116"/>
  <c r="F111"/>
  <c r="F112"/>
  <c r="H111"/>
  <c r="H112"/>
  <c r="J92"/>
  <c r="J99"/>
  <c r="J94"/>
  <c r="J93"/>
  <c r="I99"/>
  <c r="G99"/>
  <c r="I100"/>
  <c r="G100"/>
  <c r="I92"/>
  <c r="G92"/>
  <c r="I95"/>
  <c r="G95"/>
  <c r="I102"/>
  <c r="J100"/>
  <c r="J95"/>
  <c r="J96"/>
  <c r="G93"/>
  <c r="G96"/>
  <c r="H92"/>
  <c r="H93"/>
  <c r="H95"/>
  <c r="H96"/>
  <c r="F92"/>
  <c r="F93"/>
  <c r="F95"/>
  <c r="F96"/>
  <c r="F100"/>
  <c r="H99"/>
  <c r="H100"/>
  <c r="F99"/>
  <c r="E47" i="12"/>
  <c r="I47"/>
  <c r="F47"/>
  <c r="I40"/>
  <c r="E40"/>
  <c r="F44"/>
  <c r="G44"/>
  <c r="E44"/>
  <c r="E43"/>
  <c r="I43"/>
  <c r="F43"/>
  <c r="I41"/>
  <c r="G41"/>
  <c r="E41"/>
  <c r="G40"/>
  <c r="H40"/>
  <c r="F39"/>
  <c r="I39"/>
  <c r="E39"/>
  <c r="I27"/>
  <c r="G26"/>
  <c r="G23"/>
  <c r="H23"/>
  <c r="G21"/>
  <c r="I21"/>
  <c r="F38"/>
  <c r="F42"/>
  <c r="G50"/>
  <c r="F23"/>
  <c r="G27"/>
  <c r="E38"/>
  <c r="I38"/>
  <c r="H39"/>
  <c r="E42"/>
  <c r="I42"/>
  <c r="H43"/>
  <c r="H47"/>
  <c r="G51"/>
  <c r="G46"/>
  <c r="E51"/>
  <c r="I51"/>
  <c r="F35"/>
  <c r="E49"/>
  <c r="I49"/>
  <c r="H51"/>
  <c r="F46"/>
  <c r="F52"/>
  <c r="H46"/>
  <c r="H48"/>
  <c r="H50"/>
  <c r="H52"/>
  <c r="E46"/>
  <c r="E48"/>
  <c r="E50"/>
  <c r="E52"/>
  <c r="F36"/>
  <c r="F31"/>
  <c r="F33"/>
  <c r="E36"/>
  <c r="I36"/>
  <c r="E31"/>
  <c r="I31"/>
  <c r="E33"/>
  <c r="I33"/>
  <c r="G35"/>
  <c r="G36"/>
  <c r="F30"/>
  <c r="G31"/>
  <c r="F32"/>
  <c r="G33"/>
  <c r="F34"/>
  <c r="I30"/>
  <c r="E32"/>
  <c r="I32"/>
  <c r="I34"/>
  <c r="H30"/>
  <c r="H32"/>
  <c r="H34"/>
  <c r="E30"/>
  <c r="E34"/>
  <c r="H35"/>
  <c r="E35"/>
  <c r="G29"/>
  <c r="F29"/>
  <c r="H29"/>
  <c r="E22"/>
  <c r="I22"/>
  <c r="E24"/>
  <c r="I28"/>
  <c r="H22"/>
  <c r="H24"/>
  <c r="H26"/>
  <c r="H28"/>
  <c r="F24"/>
  <c r="F28"/>
  <c r="I24"/>
  <c r="E26"/>
  <c r="I26"/>
  <c r="E28"/>
  <c r="E21"/>
  <c r="E23"/>
  <c r="E25"/>
  <c r="E27"/>
  <c r="E29"/>
  <c r="E29" i="11"/>
  <c r="E27"/>
  <c r="F8"/>
  <c r="E8"/>
  <c r="F27"/>
  <c r="F29"/>
  <c r="E20"/>
  <c r="F24"/>
  <c r="F22"/>
  <c r="E24"/>
  <c r="E9"/>
  <c r="F7"/>
  <c r="F20"/>
  <c r="E22"/>
  <c r="F9"/>
  <c r="E6"/>
  <c r="F21"/>
  <c r="F23"/>
  <c r="J80" i="14"/>
  <c r="I81"/>
  <c r="G81"/>
  <c r="L84"/>
  <c r="I84" s="1"/>
  <c r="J78"/>
  <c r="J81"/>
  <c r="L83"/>
  <c r="F80"/>
  <c r="F81"/>
  <c r="H80"/>
  <c r="H81"/>
  <c r="G80"/>
  <c r="H72"/>
  <c r="I72"/>
  <c r="I78"/>
  <c r="J72"/>
  <c r="F78"/>
  <c r="L75"/>
  <c r="G72"/>
  <c r="L74"/>
  <c r="L77"/>
  <c r="G78"/>
  <c r="F72"/>
  <c r="L73"/>
  <c r="F73" s="1"/>
  <c r="K8" i="12"/>
  <c r="G8" s="1"/>
  <c r="K9"/>
  <c r="E9" s="1"/>
  <c r="K10"/>
  <c r="E10" s="1"/>
  <c r="K11"/>
  <c r="H11" s="1"/>
  <c r="K12"/>
  <c r="G12" s="1"/>
  <c r="K13"/>
  <c r="E13" s="1"/>
  <c r="K14"/>
  <c r="E14" s="1"/>
  <c r="K15"/>
  <c r="H15" s="1"/>
  <c r="K16"/>
  <c r="G16" s="1"/>
  <c r="K18"/>
  <c r="E18" s="1"/>
  <c r="K19"/>
  <c r="E19" s="1"/>
  <c r="K7"/>
  <c r="H7" s="1"/>
  <c r="H66" i="8"/>
  <c r="G65"/>
  <c r="H64"/>
  <c r="H63"/>
  <c r="H62"/>
  <c r="G61"/>
  <c r="H60"/>
  <c r="F59"/>
  <c r="H58"/>
  <c r="G57"/>
  <c r="E57"/>
  <c r="H56"/>
  <c r="G55"/>
  <c r="F43"/>
  <c r="G40"/>
  <c r="D39"/>
  <c r="G32"/>
  <c r="H31"/>
  <c r="F30"/>
  <c r="H29"/>
  <c r="G23"/>
  <c r="F24"/>
  <c r="G25"/>
  <c r="F22"/>
  <c r="F25"/>
  <c r="D24"/>
  <c r="G22"/>
  <c r="E22"/>
  <c r="D22"/>
  <c r="H8" i="10"/>
  <c r="H9"/>
  <c r="H10"/>
  <c r="H6"/>
  <c r="H23"/>
  <c r="H13"/>
  <c r="H14"/>
  <c r="H15"/>
  <c r="G13"/>
  <c r="G14"/>
  <c r="G15"/>
  <c r="G16"/>
  <c r="G8"/>
  <c r="G9"/>
  <c r="G10"/>
  <c r="G6"/>
  <c r="F13"/>
  <c r="F14"/>
  <c r="F15"/>
  <c r="F16"/>
  <c r="F12"/>
  <c r="F9"/>
  <c r="F10"/>
  <c r="F8"/>
  <c r="F6"/>
  <c r="J78"/>
  <c r="G78" s="1"/>
  <c r="J77"/>
  <c r="H77" s="1"/>
  <c r="J76"/>
  <c r="H76" s="1"/>
  <c r="J74"/>
  <c r="D74" s="1"/>
  <c r="J73"/>
  <c r="H73" s="1"/>
  <c r="J72"/>
  <c r="H72" s="1"/>
  <c r="J71"/>
  <c r="H71" s="1"/>
  <c r="J70"/>
  <c r="D70" s="1"/>
  <c r="J69"/>
  <c r="H69" s="1"/>
  <c r="J67"/>
  <c r="H67" s="1"/>
  <c r="J66"/>
  <c r="D66" s="1"/>
  <c r="J65"/>
  <c r="H65" s="1"/>
  <c r="J64"/>
  <c r="H64" s="1"/>
  <c r="J63"/>
  <c r="H63" s="1"/>
  <c r="J62"/>
  <c r="H62" s="1"/>
  <c r="J60"/>
  <c r="H60" s="1"/>
  <c r="J59"/>
  <c r="H59" s="1"/>
  <c r="J58"/>
  <c r="H58" s="1"/>
  <c r="J57"/>
  <c r="D57" s="1"/>
  <c r="J56"/>
  <c r="H56" s="1"/>
  <c r="J55"/>
  <c r="H55" s="1"/>
  <c r="J53"/>
  <c r="H53" s="1"/>
  <c r="J52"/>
  <c r="H52" s="1"/>
  <c r="J51"/>
  <c r="H51" s="1"/>
  <c r="J50"/>
  <c r="H50" s="1"/>
  <c r="J49"/>
  <c r="H49" s="1"/>
  <c r="J48"/>
  <c r="H48" s="1"/>
  <c r="J46"/>
  <c r="H46" s="1"/>
  <c r="J45"/>
  <c r="G45" s="1"/>
  <c r="J44"/>
  <c r="H44" s="1"/>
  <c r="J43"/>
  <c r="G43" s="1"/>
  <c r="J42"/>
  <c r="E42" s="1"/>
  <c r="J40"/>
  <c r="G40" s="1"/>
  <c r="J39"/>
  <c r="D39" s="1"/>
  <c r="J38"/>
  <c r="G38" s="1"/>
  <c r="J37"/>
  <c r="H37" s="1"/>
  <c r="J36"/>
  <c r="G36" s="1"/>
  <c r="J35"/>
  <c r="D35" s="1"/>
  <c r="J34"/>
  <c r="H34" s="1"/>
  <c r="J27"/>
  <c r="E27" s="1"/>
  <c r="J32"/>
  <c r="F32" s="1"/>
  <c r="J31"/>
  <c r="H31" s="1"/>
  <c r="J30"/>
  <c r="F30" s="1"/>
  <c r="J29"/>
  <c r="H29" s="1"/>
  <c r="J28"/>
  <c r="F28" s="1"/>
  <c r="J26"/>
  <c r="F26" s="1"/>
  <c r="D19"/>
  <c r="E19"/>
  <c r="F19"/>
  <c r="G19"/>
  <c r="H19"/>
  <c r="D20"/>
  <c r="E20"/>
  <c r="F20"/>
  <c r="G20"/>
  <c r="H20"/>
  <c r="D21"/>
  <c r="E21"/>
  <c r="F21"/>
  <c r="G21"/>
  <c r="H21"/>
  <c r="D22"/>
  <c r="E22"/>
  <c r="F22"/>
  <c r="G22"/>
  <c r="H22"/>
  <c r="D23"/>
  <c r="E23"/>
  <c r="F23"/>
  <c r="G23"/>
  <c r="D24"/>
  <c r="E24"/>
  <c r="F24"/>
  <c r="G24"/>
  <c r="H24"/>
  <c r="F18"/>
  <c r="H18"/>
  <c r="G18"/>
  <c r="H12" i="11"/>
  <c r="F12" s="1"/>
  <c r="H13"/>
  <c r="E13" s="1"/>
  <c r="H14"/>
  <c r="H15"/>
  <c r="H16"/>
  <c r="H17"/>
  <c r="E17" s="1"/>
  <c r="H18"/>
  <c r="H11"/>
  <c r="F11" s="1"/>
  <c r="E65" i="14"/>
  <c r="E64"/>
  <c r="E57"/>
  <c r="E58"/>
  <c r="E59"/>
  <c r="E60"/>
  <c r="E61"/>
  <c r="E62"/>
  <c r="E56"/>
  <c r="E52"/>
  <c r="E53"/>
  <c r="E54"/>
  <c r="E51"/>
  <c r="E48"/>
  <c r="E49"/>
  <c r="E47"/>
  <c r="N62"/>
  <c r="N61"/>
  <c r="N60"/>
  <c r="L60" s="1"/>
  <c r="N58"/>
  <c r="N57"/>
  <c r="N54"/>
  <c r="N53"/>
  <c r="L53" s="1"/>
  <c r="N52"/>
  <c r="N51"/>
  <c r="N49"/>
  <c r="N48"/>
  <c r="L48" s="1"/>
  <c r="H48" s="1"/>
  <c r="L8"/>
  <c r="N47"/>
  <c r="N65"/>
  <c r="N64"/>
  <c r="N59"/>
  <c r="N56"/>
  <c r="E64" i="10" l="1"/>
  <c r="E73"/>
  <c r="E36"/>
  <c r="E46"/>
  <c r="E62"/>
  <c r="E59"/>
  <c r="G126" i="14"/>
  <c r="E77" i="10"/>
  <c r="D71"/>
  <c r="D62"/>
  <c r="E38"/>
  <c r="D60"/>
  <c r="E37"/>
  <c r="D44"/>
  <c r="E34"/>
  <c r="E43"/>
  <c r="E76"/>
  <c r="D34"/>
  <c r="D43"/>
  <c r="D76"/>
  <c r="E71"/>
  <c r="D77"/>
  <c r="E67"/>
  <c r="D67"/>
  <c r="D37"/>
  <c r="D46"/>
  <c r="D56"/>
  <c r="E60"/>
  <c r="D65"/>
  <c r="H27"/>
  <c r="D42"/>
  <c r="E40"/>
  <c r="E56"/>
  <c r="E65"/>
  <c r="D73"/>
  <c r="E45"/>
  <c r="E58"/>
  <c r="E63"/>
  <c r="E44"/>
  <c r="D78"/>
  <c r="D58"/>
  <c r="D63"/>
  <c r="D69"/>
  <c r="D72"/>
  <c r="D40"/>
  <c r="D59"/>
  <c r="D64"/>
  <c r="E55"/>
  <c r="E69"/>
  <c r="E72"/>
  <c r="F122" i="14"/>
  <c r="E78" i="10"/>
  <c r="D55"/>
  <c r="D45"/>
  <c r="D38"/>
  <c r="D36"/>
  <c r="E39"/>
  <c r="H39"/>
  <c r="E40" i="8"/>
  <c r="E32"/>
  <c r="F14" i="12"/>
  <c r="G13"/>
  <c r="F10"/>
  <c r="H8"/>
  <c r="H16"/>
  <c r="H13"/>
  <c r="G10"/>
  <c r="F9"/>
  <c r="E16" i="11"/>
  <c r="E29" i="10"/>
  <c r="F34"/>
  <c r="F39"/>
  <c r="F37"/>
  <c r="F35"/>
  <c r="F46"/>
  <c r="F44"/>
  <c r="F48"/>
  <c r="F52"/>
  <c r="F50"/>
  <c r="F55"/>
  <c r="F59"/>
  <c r="F57"/>
  <c r="F62"/>
  <c r="F66"/>
  <c r="F64"/>
  <c r="F69"/>
  <c r="F73"/>
  <c r="F71"/>
  <c r="F76"/>
  <c r="F78"/>
  <c r="G34"/>
  <c r="G39"/>
  <c r="G37"/>
  <c r="G35"/>
  <c r="G46"/>
  <c r="G44"/>
  <c r="G48"/>
  <c r="G52"/>
  <c r="G50"/>
  <c r="G55"/>
  <c r="G59"/>
  <c r="G57"/>
  <c r="G62"/>
  <c r="G66"/>
  <c r="G64"/>
  <c r="G69"/>
  <c r="G73"/>
  <c r="G71"/>
  <c r="G76"/>
  <c r="G77"/>
  <c r="H78"/>
  <c r="H66"/>
  <c r="H57"/>
  <c r="H42"/>
  <c r="H45"/>
  <c r="H43"/>
  <c r="H40"/>
  <c r="H38"/>
  <c r="H36"/>
  <c r="H26"/>
  <c r="F40"/>
  <c r="F38"/>
  <c r="F36"/>
  <c r="F42"/>
  <c r="F45"/>
  <c r="F43"/>
  <c r="F53"/>
  <c r="F51"/>
  <c r="F49"/>
  <c r="F60"/>
  <c r="F58"/>
  <c r="F56"/>
  <c r="F67"/>
  <c r="F65"/>
  <c r="F63"/>
  <c r="F74"/>
  <c r="F72"/>
  <c r="F70"/>
  <c r="F77"/>
  <c r="G42"/>
  <c r="G53"/>
  <c r="G51"/>
  <c r="G49"/>
  <c r="G60"/>
  <c r="G58"/>
  <c r="G56"/>
  <c r="G67"/>
  <c r="G65"/>
  <c r="G63"/>
  <c r="G74"/>
  <c r="G72"/>
  <c r="G70"/>
  <c r="H74"/>
  <c r="H70"/>
  <c r="H35"/>
  <c r="H28"/>
  <c r="H40" i="8"/>
  <c r="F23"/>
  <c r="E25"/>
  <c r="F32"/>
  <c r="F39"/>
  <c r="D40"/>
  <c r="F40"/>
  <c r="H39"/>
  <c r="F57"/>
  <c r="E66"/>
  <c r="I122" i="14"/>
  <c r="H94"/>
  <c r="G94"/>
  <c r="F126"/>
  <c r="I94"/>
  <c r="G122"/>
  <c r="H126"/>
  <c r="I148"/>
  <c r="G148"/>
  <c r="F148"/>
  <c r="H148"/>
  <c r="F130"/>
  <c r="H134"/>
  <c r="I142"/>
  <c r="F142"/>
  <c r="G142"/>
  <c r="H142"/>
  <c r="I143"/>
  <c r="F143"/>
  <c r="H143"/>
  <c r="G143"/>
  <c r="I146"/>
  <c r="F146"/>
  <c r="G146"/>
  <c r="H146"/>
  <c r="I144"/>
  <c r="F144"/>
  <c r="G144"/>
  <c r="H144"/>
  <c r="I145"/>
  <c r="F145"/>
  <c r="H145"/>
  <c r="G145"/>
  <c r="F108"/>
  <c r="H125"/>
  <c r="F134"/>
  <c r="I136"/>
  <c r="F136"/>
  <c r="G136"/>
  <c r="H136"/>
  <c r="I137"/>
  <c r="F137"/>
  <c r="G137"/>
  <c r="H137"/>
  <c r="I138"/>
  <c r="F138"/>
  <c r="G138"/>
  <c r="H138"/>
  <c r="I140"/>
  <c r="F140"/>
  <c r="G140"/>
  <c r="H140"/>
  <c r="I139"/>
  <c r="F139"/>
  <c r="G139"/>
  <c r="H139"/>
  <c r="G130"/>
  <c r="H130"/>
  <c r="G134"/>
  <c r="I129"/>
  <c r="G129"/>
  <c r="I125"/>
  <c r="G125"/>
  <c r="H108"/>
  <c r="F129"/>
  <c r="G108"/>
  <c r="F132"/>
  <c r="H119"/>
  <c r="H132"/>
  <c r="G132"/>
  <c r="I131"/>
  <c r="G131"/>
  <c r="F131"/>
  <c r="F113"/>
  <c r="H117"/>
  <c r="G116"/>
  <c r="G117"/>
  <c r="F117"/>
  <c r="F119"/>
  <c r="G119"/>
  <c r="H116"/>
  <c r="F116"/>
  <c r="F109"/>
  <c r="G109"/>
  <c r="H109"/>
  <c r="I113"/>
  <c r="G113"/>
  <c r="F114"/>
  <c r="F115"/>
  <c r="H101"/>
  <c r="G115"/>
  <c r="H115"/>
  <c r="G114"/>
  <c r="H114"/>
  <c r="F97"/>
  <c r="H102"/>
  <c r="F98"/>
  <c r="H98"/>
  <c r="G98"/>
  <c r="I97"/>
  <c r="G97"/>
  <c r="I101"/>
  <c r="G101"/>
  <c r="F102"/>
  <c r="G102"/>
  <c r="I104"/>
  <c r="F104"/>
  <c r="H104"/>
  <c r="G104"/>
  <c r="I103"/>
  <c r="F103"/>
  <c r="G103"/>
  <c r="H103"/>
  <c r="I105"/>
  <c r="F105"/>
  <c r="H105"/>
  <c r="G105"/>
  <c r="I106"/>
  <c r="F106"/>
  <c r="G106"/>
  <c r="H106"/>
  <c r="I91"/>
  <c r="F91"/>
  <c r="H91"/>
  <c r="G91"/>
  <c r="G14" i="12"/>
  <c r="F13"/>
  <c r="H9"/>
  <c r="H12"/>
  <c r="G9"/>
  <c r="I15"/>
  <c r="E15"/>
  <c r="E11"/>
  <c r="E16"/>
  <c r="F15"/>
  <c r="I12"/>
  <c r="F11"/>
  <c r="I8"/>
  <c r="E8"/>
  <c r="E7"/>
  <c r="F16"/>
  <c r="G15"/>
  <c r="H14"/>
  <c r="I13"/>
  <c r="F12"/>
  <c r="G11"/>
  <c r="H10"/>
  <c r="I9"/>
  <c r="F8"/>
  <c r="I7"/>
  <c r="I11"/>
  <c r="I16"/>
  <c r="E12"/>
  <c r="I14"/>
  <c r="I10"/>
  <c r="F14" i="11"/>
  <c r="F84" i="14"/>
  <c r="G84"/>
  <c r="I83"/>
  <c r="G83"/>
  <c r="F83"/>
  <c r="H83"/>
  <c r="H84"/>
  <c r="H75"/>
  <c r="I75"/>
  <c r="F75"/>
  <c r="G75"/>
  <c r="H77"/>
  <c r="F77"/>
  <c r="G77"/>
  <c r="I77"/>
  <c r="H74"/>
  <c r="F74"/>
  <c r="I74"/>
  <c r="G74"/>
  <c r="I73"/>
  <c r="G73"/>
  <c r="H73"/>
  <c r="E15" i="11"/>
  <c r="F18"/>
  <c r="F15"/>
  <c r="F16"/>
  <c r="E11"/>
  <c r="E12"/>
  <c r="G19" i="12"/>
  <c r="F7"/>
  <c r="G7"/>
  <c r="G18"/>
  <c r="H18"/>
  <c r="I18"/>
  <c r="F18"/>
  <c r="E65" i="8"/>
  <c r="F65"/>
  <c r="F64"/>
  <c r="E64"/>
  <c r="F63"/>
  <c r="G63"/>
  <c r="E63"/>
  <c r="D61"/>
  <c r="H61"/>
  <c r="F61"/>
  <c r="E61"/>
  <c r="E59"/>
  <c r="E58"/>
  <c r="F56"/>
  <c r="F55"/>
  <c r="E55"/>
  <c r="H24"/>
  <c r="H43"/>
  <c r="H25"/>
  <c r="G43"/>
  <c r="D59"/>
  <c r="H59"/>
  <c r="F62"/>
  <c r="D25"/>
  <c r="H22"/>
  <c r="D32"/>
  <c r="H32"/>
  <c r="D55"/>
  <c r="D57"/>
  <c r="H57"/>
  <c r="G59"/>
  <c r="F60"/>
  <c r="E62"/>
  <c r="D65"/>
  <c r="H65"/>
  <c r="E24"/>
  <c r="H23"/>
  <c r="F58"/>
  <c r="E60"/>
  <c r="D63"/>
  <c r="F66"/>
  <c r="E56"/>
  <c r="G56"/>
  <c r="G58"/>
  <c r="G60"/>
  <c r="G62"/>
  <c r="G64"/>
  <c r="G66"/>
  <c r="D56"/>
  <c r="D58"/>
  <c r="D60"/>
  <c r="D62"/>
  <c r="D64"/>
  <c r="D66"/>
  <c r="D43"/>
  <c r="E43"/>
  <c r="E39"/>
  <c r="G39"/>
  <c r="F31"/>
  <c r="D30"/>
  <c r="H30"/>
  <c r="G30"/>
  <c r="E30"/>
  <c r="F29"/>
  <c r="G29"/>
  <c r="E29"/>
  <c r="E31"/>
  <c r="G31"/>
  <c r="D31"/>
  <c r="D29"/>
  <c r="E23"/>
  <c r="D23"/>
  <c r="G24"/>
  <c r="E74" i="10"/>
  <c r="E70"/>
  <c r="E66"/>
  <c r="E57"/>
  <c r="E35"/>
  <c r="F27"/>
  <c r="G31"/>
  <c r="G29"/>
  <c r="F31"/>
  <c r="E26"/>
  <c r="G27"/>
  <c r="F29"/>
  <c r="E31"/>
  <c r="E30"/>
  <c r="D32"/>
  <c r="G26"/>
  <c r="G28"/>
  <c r="G30"/>
  <c r="G32"/>
  <c r="E28"/>
  <c r="E32"/>
  <c r="D26"/>
  <c r="D28"/>
  <c r="D30"/>
  <c r="H30"/>
  <c r="H32"/>
  <c r="D27"/>
  <c r="D29"/>
  <c r="D31"/>
  <c r="E18" i="11"/>
  <c r="F17"/>
  <c r="E14"/>
  <c r="F13"/>
  <c r="L54" i="14"/>
  <c r="J48"/>
  <c r="L65"/>
  <c r="L64"/>
  <c r="L62"/>
  <c r="L61"/>
  <c r="L59"/>
  <c r="L58"/>
  <c r="L57"/>
  <c r="L56"/>
  <c r="L52"/>
  <c r="L51"/>
  <c r="L49"/>
  <c r="L47"/>
  <c r="H47" s="1"/>
  <c r="J64"/>
  <c r="J65"/>
  <c r="J57"/>
  <c r="J58"/>
  <c r="J47"/>
  <c r="G48"/>
  <c r="F48"/>
  <c r="I48"/>
  <c r="J49"/>
  <c r="J51"/>
  <c r="J52"/>
  <c r="J53"/>
  <c r="J54"/>
  <c r="J56"/>
  <c r="J59"/>
  <c r="J60"/>
  <c r="J61"/>
  <c r="J62"/>
  <c r="E18" i="10"/>
  <c r="D18"/>
  <c r="E53"/>
  <c r="D53"/>
  <c r="E52"/>
  <c r="D52"/>
  <c r="E51"/>
  <c r="E50"/>
  <c r="D50"/>
  <c r="E16"/>
  <c r="E15"/>
  <c r="E14"/>
  <c r="E10"/>
  <c r="E9"/>
  <c r="D9"/>
  <c r="E8"/>
  <c r="D8"/>
  <c r="J7" i="8"/>
  <c r="J8"/>
  <c r="J9"/>
  <c r="J10"/>
  <c r="J11"/>
  <c r="J12"/>
  <c r="J13"/>
  <c r="H13" s="1"/>
  <c r="J14"/>
  <c r="J15"/>
  <c r="J16"/>
  <c r="J17"/>
  <c r="J18"/>
  <c r="J19"/>
  <c r="J6"/>
  <c r="H6" s="1"/>
  <c r="N38" i="14"/>
  <c r="N37"/>
  <c r="N36"/>
  <c r="N35"/>
  <c r="N34"/>
  <c r="N32"/>
  <c r="N31"/>
  <c r="N30"/>
  <c r="N29"/>
  <c r="N27"/>
  <c r="N26"/>
  <c r="N25"/>
  <c r="N24"/>
  <c r="N23"/>
  <c r="J23" s="1"/>
  <c r="N22"/>
  <c r="N21"/>
  <c r="N20"/>
  <c r="N18"/>
  <c r="N17"/>
  <c r="N16"/>
  <c r="N14"/>
  <c r="N13"/>
  <c r="N15"/>
  <c r="N19"/>
  <c r="N39"/>
  <c r="N12"/>
  <c r="N11"/>
  <c r="N10"/>
  <c r="E8"/>
  <c r="N7" i="13"/>
  <c r="N8"/>
  <c r="N9"/>
  <c r="N6"/>
  <c r="H7" i="3"/>
  <c r="I7"/>
  <c r="J7"/>
  <c r="K7"/>
  <c r="L7"/>
  <c r="H8"/>
  <c r="I8"/>
  <c r="J8"/>
  <c r="K8"/>
  <c r="L8"/>
  <c r="H9"/>
  <c r="I9"/>
  <c r="J9"/>
  <c r="L9"/>
  <c r="H10"/>
  <c r="I10"/>
  <c r="J10"/>
  <c r="K10"/>
  <c r="L10"/>
  <c r="H11"/>
  <c r="I11"/>
  <c r="J11"/>
  <c r="K11"/>
  <c r="L11"/>
  <c r="H13"/>
  <c r="I13"/>
  <c r="J13"/>
  <c r="K13"/>
  <c r="L13"/>
  <c r="H14"/>
  <c r="I14"/>
  <c r="J14"/>
  <c r="K14"/>
  <c r="L14"/>
  <c r="I6"/>
  <c r="J6"/>
  <c r="N9" i="14"/>
  <c r="J8"/>
  <c r="G7" i="8" l="1"/>
  <c r="H7"/>
  <c r="J15" i="14"/>
  <c r="L15"/>
  <c r="H15" s="1"/>
  <c r="J22"/>
  <c r="L22"/>
  <c r="H22" s="1"/>
  <c r="E30"/>
  <c r="L30"/>
  <c r="H30" s="1"/>
  <c r="J7"/>
  <c r="L7"/>
  <c r="I7" s="1"/>
  <c r="J19"/>
  <c r="L19"/>
  <c r="H19" s="1"/>
  <c r="E16"/>
  <c r="L16"/>
  <c r="H16" s="1"/>
  <c r="E21"/>
  <c r="L21"/>
  <c r="I21" s="1"/>
  <c r="E25"/>
  <c r="L25"/>
  <c r="H25" s="1"/>
  <c r="L34"/>
  <c r="H34" s="1"/>
  <c r="L38"/>
  <c r="H38" s="1"/>
  <c r="J10"/>
  <c r="L10"/>
  <c r="H10" s="1"/>
  <c r="E14"/>
  <c r="L14"/>
  <c r="H14" s="1"/>
  <c r="E20"/>
  <c r="L20"/>
  <c r="H20" s="1"/>
  <c r="J24"/>
  <c r="L24"/>
  <c r="H24" s="1"/>
  <c r="E27"/>
  <c r="L27"/>
  <c r="H27" s="1"/>
  <c r="E32"/>
  <c r="L32"/>
  <c r="H32" s="1"/>
  <c r="J37"/>
  <c r="L37"/>
  <c r="I37" s="1"/>
  <c r="E12"/>
  <c r="L12"/>
  <c r="I12" s="1"/>
  <c r="J17"/>
  <c r="L17"/>
  <c r="H17" s="1"/>
  <c r="L26"/>
  <c r="H26" s="1"/>
  <c r="L35"/>
  <c r="I35" s="1"/>
  <c r="L9"/>
  <c r="G9" s="1"/>
  <c r="J11"/>
  <c r="L11"/>
  <c r="J29"/>
  <c r="L29"/>
  <c r="H29" s="1"/>
  <c r="J39"/>
  <c r="L39"/>
  <c r="H39" s="1"/>
  <c r="E13"/>
  <c r="L13"/>
  <c r="G13" s="1"/>
  <c r="E18"/>
  <c r="L18"/>
  <c r="H18" s="1"/>
  <c r="E23"/>
  <c r="L23"/>
  <c r="H23" s="1"/>
  <c r="J31"/>
  <c r="L31"/>
  <c r="H31" s="1"/>
  <c r="E36"/>
  <c r="L36"/>
  <c r="H36" s="1"/>
  <c r="E34"/>
  <c r="E26"/>
  <c r="F19" i="12"/>
  <c r="H19"/>
  <c r="I19"/>
  <c r="F45" i="8"/>
  <c r="H45"/>
  <c r="E28"/>
  <c r="H28"/>
  <c r="F14"/>
  <c r="H14"/>
  <c r="E46"/>
  <c r="H46"/>
  <c r="D33"/>
  <c r="H33"/>
  <c r="D15"/>
  <c r="H15"/>
  <c r="F7"/>
  <c r="F6"/>
  <c r="F49"/>
  <c r="H49"/>
  <c r="F42"/>
  <c r="H42"/>
  <c r="F35"/>
  <c r="H35"/>
  <c r="F27"/>
  <c r="H27"/>
  <c r="F17"/>
  <c r="H17"/>
  <c r="G13"/>
  <c r="G9"/>
  <c r="H9"/>
  <c r="F50"/>
  <c r="H50"/>
  <c r="E36"/>
  <c r="H36"/>
  <c r="E18"/>
  <c r="H18"/>
  <c r="F10"/>
  <c r="H10"/>
  <c r="D52"/>
  <c r="H52"/>
  <c r="D38"/>
  <c r="H38"/>
  <c r="E19"/>
  <c r="H19"/>
  <c r="F11"/>
  <c r="H11"/>
  <c r="F53"/>
  <c r="H53"/>
  <c r="G48"/>
  <c r="H48"/>
  <c r="F41"/>
  <c r="H41"/>
  <c r="G34"/>
  <c r="H34"/>
  <c r="F20"/>
  <c r="H20"/>
  <c r="G16"/>
  <c r="H16"/>
  <c r="E12"/>
  <c r="H12"/>
  <c r="E8"/>
  <c r="H8"/>
  <c r="E50"/>
  <c r="D50"/>
  <c r="G18"/>
  <c r="F38"/>
  <c r="G19"/>
  <c r="E9"/>
  <c r="D45"/>
  <c r="E7"/>
  <c r="E42"/>
  <c r="F8"/>
  <c r="D12"/>
  <c r="F9"/>
  <c r="G42"/>
  <c r="G8"/>
  <c r="E13"/>
  <c r="E45"/>
  <c r="E27"/>
  <c r="F12"/>
  <c r="G50"/>
  <c r="G45"/>
  <c r="G28"/>
  <c r="G53"/>
  <c r="G41"/>
  <c r="D16"/>
  <c r="G49"/>
  <c r="D8"/>
  <c r="E49"/>
  <c r="E38"/>
  <c r="F13"/>
  <c r="G52"/>
  <c r="G46"/>
  <c r="G38"/>
  <c r="G36"/>
  <c r="E35"/>
  <c r="G35"/>
  <c r="E33"/>
  <c r="F33"/>
  <c r="G33"/>
  <c r="D28"/>
  <c r="G27"/>
  <c r="G20"/>
  <c r="D20"/>
  <c r="F19"/>
  <c r="E17"/>
  <c r="G17"/>
  <c r="F16"/>
  <c r="F15"/>
  <c r="G15"/>
  <c r="E15"/>
  <c r="G14"/>
  <c r="G12"/>
  <c r="E11"/>
  <c r="G11"/>
  <c r="G10"/>
  <c r="G6"/>
  <c r="E6"/>
  <c r="J13" i="14"/>
  <c r="E37"/>
  <c r="J32"/>
  <c r="J12"/>
  <c r="J36"/>
  <c r="I64"/>
  <c r="G64"/>
  <c r="H64"/>
  <c r="F64"/>
  <c r="I65"/>
  <c r="G65"/>
  <c r="F65"/>
  <c r="H65"/>
  <c r="I57"/>
  <c r="H57"/>
  <c r="F57"/>
  <c r="G57"/>
  <c r="I58"/>
  <c r="F58"/>
  <c r="G58"/>
  <c r="H58"/>
  <c r="J16"/>
  <c r="E15"/>
  <c r="J25"/>
  <c r="J34"/>
  <c r="E17"/>
  <c r="E29"/>
  <c r="J30"/>
  <c r="E31"/>
  <c r="E11"/>
  <c r="G47"/>
  <c r="E35"/>
  <c r="J35"/>
  <c r="J20"/>
  <c r="E10"/>
  <c r="F47"/>
  <c r="I47"/>
  <c r="E19"/>
  <c r="E38"/>
  <c r="J21"/>
  <c r="I59"/>
  <c r="F59"/>
  <c r="G59"/>
  <c r="H59"/>
  <c r="I49"/>
  <c r="H49"/>
  <c r="F49"/>
  <c r="G49"/>
  <c r="I53"/>
  <c r="F53"/>
  <c r="G53"/>
  <c r="H53"/>
  <c r="I61"/>
  <c r="F61"/>
  <c r="G61"/>
  <c r="H61"/>
  <c r="I54"/>
  <c r="H54"/>
  <c r="F54"/>
  <c r="G54"/>
  <c r="I51"/>
  <c r="G51"/>
  <c r="F51"/>
  <c r="H51"/>
  <c r="I60"/>
  <c r="F60"/>
  <c r="G60"/>
  <c r="H60"/>
  <c r="I52"/>
  <c r="G52"/>
  <c r="F52"/>
  <c r="H52"/>
  <c r="I62"/>
  <c r="H62"/>
  <c r="F62"/>
  <c r="G62"/>
  <c r="I56"/>
  <c r="F56"/>
  <c r="G56"/>
  <c r="H56"/>
  <c r="E52" i="8"/>
  <c r="D14"/>
  <c r="D10"/>
  <c r="D53"/>
  <c r="D48"/>
  <c r="D41"/>
  <c r="D34"/>
  <c r="D18"/>
  <c r="F52"/>
  <c r="F48"/>
  <c r="F34"/>
  <c r="D6"/>
  <c r="D13"/>
  <c r="D11"/>
  <c r="D9"/>
  <c r="D7"/>
  <c r="D49"/>
  <c r="D46"/>
  <c r="D42"/>
  <c r="D35"/>
  <c r="D27"/>
  <c r="D19"/>
  <c r="D17"/>
  <c r="F46"/>
  <c r="F36"/>
  <c r="F28"/>
  <c r="F18"/>
  <c r="E14"/>
  <c r="E10"/>
  <c r="E53"/>
  <c r="E48"/>
  <c r="E41"/>
  <c r="E34"/>
  <c r="E20"/>
  <c r="E16"/>
  <c r="D48" i="10"/>
  <c r="E13"/>
  <c r="E48"/>
  <c r="D49"/>
  <c r="E49"/>
  <c r="D51"/>
  <c r="D10"/>
  <c r="E39" i="14"/>
  <c r="J38"/>
  <c r="J27"/>
  <c r="J26"/>
  <c r="E24"/>
  <c r="E22"/>
  <c r="J18"/>
  <c r="E9"/>
  <c r="J9"/>
  <c r="J14"/>
  <c r="I10" l="1"/>
  <c r="I17"/>
  <c r="F16"/>
  <c r="G25"/>
  <c r="I27"/>
  <c r="I25"/>
  <c r="F7"/>
  <c r="G23"/>
  <c r="G17"/>
  <c r="F23"/>
  <c r="F25"/>
  <c r="G36"/>
  <c r="I23"/>
  <c r="F36"/>
  <c r="F35"/>
  <c r="F9"/>
  <c r="I36"/>
  <c r="G12"/>
  <c r="H35"/>
  <c r="F19"/>
  <c r="I38"/>
  <c r="I9"/>
  <c r="G35"/>
  <c r="I19"/>
  <c r="G34"/>
  <c r="I34"/>
  <c r="G26"/>
  <c r="G38"/>
  <c r="F30"/>
  <c r="F12"/>
  <c r="I39"/>
  <c r="F26"/>
  <c r="F34"/>
  <c r="F38"/>
  <c r="I26"/>
  <c r="G19"/>
  <c r="F27"/>
  <c r="G21"/>
  <c r="G30"/>
  <c r="F31"/>
  <c r="F10"/>
  <c r="H9"/>
  <c r="I32"/>
  <c r="H37"/>
  <c r="I24"/>
  <c r="F32"/>
  <c r="G24"/>
  <c r="G32"/>
  <c r="F24"/>
  <c r="I30"/>
  <c r="G16"/>
  <c r="F15"/>
  <c r="I20"/>
  <c r="I15"/>
  <c r="G20"/>
  <c r="I16"/>
  <c r="G10"/>
  <c r="G31"/>
  <c r="H12"/>
  <c r="F17"/>
  <c r="I31"/>
  <c r="G27"/>
  <c r="F14"/>
  <c r="F20"/>
  <c r="H7"/>
  <c r="G7"/>
  <c r="F39"/>
  <c r="G15"/>
  <c r="G29"/>
  <c r="G39"/>
  <c r="I14"/>
  <c r="G18"/>
  <c r="I18"/>
  <c r="G37"/>
  <c r="F37"/>
  <c r="F29"/>
  <c r="I29"/>
  <c r="I22"/>
  <c r="G22"/>
  <c r="F22"/>
  <c r="H21"/>
  <c r="F21"/>
  <c r="F18"/>
  <c r="G8"/>
  <c r="I8"/>
  <c r="F8"/>
  <c r="H8"/>
  <c r="H13"/>
  <c r="F13"/>
  <c r="I13"/>
  <c r="G14"/>
  <c r="I11"/>
  <c r="G11"/>
  <c r="F11"/>
  <c r="H11"/>
  <c r="L6" i="3"/>
</calcChain>
</file>

<file path=xl/comments1.xml><?xml version="1.0" encoding="utf-8"?>
<comments xmlns="http://schemas.openxmlformats.org/spreadsheetml/2006/main">
  <authors>
    <author>111</author>
  </authors>
  <commentList>
    <comment ref="H5" authorId="0" guid="{6C85FC99-0541-46CB-98D0-22FC7CEDD072}">
      <text>
        <r>
          <rPr>
            <b/>
            <sz val="9"/>
            <color indexed="81"/>
            <rFont val="Tahoma"/>
            <family val="2"/>
            <charset val="204"/>
          </rPr>
          <t>25% Орел</t>
        </r>
      </text>
    </comment>
    <comment ref="I5" authorId="0" guid="{9C2CC4A6-DFCA-418E-AE64-891529C57221}">
      <text>
        <r>
          <rPr>
            <b/>
            <sz val="9"/>
            <color indexed="81"/>
            <rFont val="Tahoma"/>
            <family val="2"/>
            <charset val="204"/>
          </rPr>
          <t>20% Орел</t>
        </r>
      </text>
    </comment>
    <comment ref="J5" authorId="0" guid="{A39391EA-62D8-48CC-9772-E98CDB0A823B}">
      <text>
        <r>
          <rPr>
            <b/>
            <sz val="9"/>
            <color indexed="81"/>
            <rFont val="Tahoma"/>
            <family val="2"/>
            <charset val="204"/>
          </rPr>
          <t>10% Орел</t>
        </r>
      </text>
    </comment>
    <comment ref="K5" authorId="0" guid="{DB65D2EA-5102-4650-AC26-4658C8C6D8C1}">
      <text>
        <r>
          <rPr>
            <b/>
            <sz val="9"/>
            <color indexed="81"/>
            <rFont val="Tahoma"/>
            <family val="2"/>
            <charset val="204"/>
          </rPr>
          <t>3% Орел</t>
        </r>
      </text>
    </comment>
    <comment ref="L5" authorId="0" guid="{C255E861-78D8-499B-8F49-409DEA86A16F}">
      <text>
        <r>
          <rPr>
            <b/>
            <sz val="9"/>
            <color indexed="81"/>
            <rFont val="Tahoma"/>
            <family val="2"/>
            <charset val="204"/>
          </rPr>
          <t>3% Москва</t>
        </r>
      </text>
    </comment>
  </commentList>
</comments>
</file>

<file path=xl/comments10.xml><?xml version="1.0" encoding="utf-8"?>
<comments xmlns="http://schemas.openxmlformats.org/spreadsheetml/2006/main">
  <authors>
    <author>111</author>
  </authors>
  <commentList>
    <comment ref="H5" authorId="0" guid="{9584EF1D-ACA0-43D3-B041-E1A3017C73E0}">
      <text>
        <r>
          <rPr>
            <b/>
            <sz val="9"/>
            <color indexed="81"/>
            <rFont val="Tahoma"/>
            <family val="2"/>
            <charset val="204"/>
          </rPr>
          <t>25%</t>
        </r>
      </text>
    </comment>
    <comment ref="I5" authorId="0" guid="{DAFBC906-5DB8-48F8-8045-10FD8276E4AC}">
      <text>
        <r>
          <rPr>
            <b/>
            <sz val="9"/>
            <color indexed="81"/>
            <rFont val="Tahoma"/>
            <family val="2"/>
            <charset val="204"/>
          </rPr>
          <t>20%</t>
        </r>
      </text>
    </comment>
    <comment ref="J5" authorId="0" guid="{E33CFC89-2946-4DAF-9704-5B96EB785044}">
      <text>
        <r>
          <rPr>
            <b/>
            <sz val="9"/>
            <color indexed="81"/>
            <rFont val="Tahoma"/>
            <family val="2"/>
            <charset val="204"/>
          </rPr>
          <t>10%</t>
        </r>
      </text>
    </comment>
    <comment ref="K5" authorId="0" guid="{3010A15F-04C9-4DF2-87A7-51E1E673E7DB}">
      <text>
        <r>
          <rPr>
            <b/>
            <sz val="9"/>
            <color indexed="81"/>
            <rFont val="Tahoma"/>
            <family val="2"/>
            <charset val="204"/>
          </rPr>
          <t>3%</t>
        </r>
      </text>
    </comment>
    <comment ref="L5" authorId="0" guid="{0C94A17D-70F7-44F4-9246-BD38FB5E01AE}">
      <text>
        <r>
          <rPr>
            <b/>
            <sz val="9"/>
            <color indexed="81"/>
            <rFont val="Tahoma"/>
            <family val="2"/>
            <charset val="204"/>
          </rPr>
          <t>3%</t>
        </r>
      </text>
    </comment>
    <comment ref="H12" authorId="0" guid="{462AB881-F8F9-4362-A986-9593BC2773F5}">
      <text>
        <r>
          <rPr>
            <b/>
            <sz val="9"/>
            <color indexed="81"/>
            <rFont val="Tahoma"/>
            <family val="2"/>
            <charset val="204"/>
          </rPr>
          <t>25%</t>
        </r>
      </text>
    </comment>
    <comment ref="I12" authorId="0" guid="{2A8FD153-70B0-4D47-A4F7-BC35EE011C9D}">
      <text>
        <r>
          <rPr>
            <b/>
            <sz val="9"/>
            <color indexed="81"/>
            <rFont val="Tahoma"/>
            <family val="2"/>
            <charset val="204"/>
          </rPr>
          <t>20%</t>
        </r>
      </text>
    </comment>
    <comment ref="J12" authorId="0" guid="{A242759A-6A72-4CC4-B59D-26EEB7639E70}">
      <text>
        <r>
          <rPr>
            <b/>
            <sz val="9"/>
            <color indexed="81"/>
            <rFont val="Tahoma"/>
            <family val="2"/>
            <charset val="204"/>
          </rPr>
          <t>10%</t>
        </r>
      </text>
    </comment>
    <comment ref="K12" authorId="0" guid="{64FD1200-7A88-4DE2-A064-6FD57D44B185}">
      <text>
        <r>
          <rPr>
            <b/>
            <sz val="9"/>
            <color indexed="81"/>
            <rFont val="Tahoma"/>
            <family val="2"/>
            <charset val="204"/>
          </rPr>
          <t>3%</t>
        </r>
      </text>
    </comment>
    <comment ref="L12" authorId="0" guid="{107917A3-A217-4C29-A773-F3EA7D11E584}">
      <text>
        <r>
          <rPr>
            <b/>
            <sz val="9"/>
            <color indexed="81"/>
            <rFont val="Tahoma"/>
            <family val="2"/>
            <charset val="204"/>
          </rPr>
          <t>3%</t>
        </r>
      </text>
    </comment>
  </commentList>
</comments>
</file>

<file path=xl/comments11.xml><?xml version="1.0" encoding="utf-8"?>
<comments xmlns="http://schemas.openxmlformats.org/spreadsheetml/2006/main">
  <authors>
    <author>Поляков Андрей</author>
    <author>111</author>
  </authors>
  <commentList>
    <comment ref="E3" authorId="0" guid="{92A6E948-A717-4B23-974C-B82EAA09F127}">
      <text>
        <r>
          <rPr>
            <b/>
            <sz val="9"/>
            <color indexed="81"/>
            <rFont val="Tahoma"/>
            <family val="2"/>
            <charset val="204"/>
          </rPr>
          <t>25%</t>
        </r>
      </text>
    </comment>
    <comment ref="F5" authorId="1" guid="{64E9000C-50CE-446D-93FE-0B21D267138C}">
      <text>
        <r>
          <rPr>
            <b/>
            <sz val="9"/>
            <color indexed="81"/>
            <rFont val="Tahoma"/>
            <family val="2"/>
            <charset val="204"/>
          </rPr>
          <t xml:space="preserve">20% </t>
        </r>
      </text>
    </comment>
    <comment ref="G5" authorId="1" guid="{FBABEF6C-0E36-40F7-897D-8462261B2CE4}">
      <text>
        <r>
          <rPr>
            <b/>
            <sz val="9"/>
            <color indexed="81"/>
            <rFont val="Tahoma"/>
            <family val="2"/>
            <charset val="204"/>
          </rPr>
          <t>15%</t>
        </r>
      </text>
    </comment>
    <comment ref="H5" authorId="1" guid="{3BF95297-8D68-4CF0-BF2E-E05F4584CE19}">
      <text>
        <r>
          <rPr>
            <b/>
            <sz val="9"/>
            <color indexed="81"/>
            <rFont val="Tahoma"/>
            <family val="2"/>
            <charset val="204"/>
          </rPr>
          <t>10%</t>
        </r>
      </text>
    </comment>
    <comment ref="I5" authorId="1" guid="{59773E7E-B2DA-41F9-B339-DDCDCC6441DF}">
      <text>
        <r>
          <rPr>
            <b/>
            <sz val="9"/>
            <color indexed="81"/>
            <rFont val="Tahoma"/>
            <family val="2"/>
            <charset val="204"/>
          </rPr>
          <t>3%</t>
        </r>
      </text>
    </comment>
    <comment ref="J5" authorId="1" guid="{EE522141-4776-4CD2-9922-36ECCF9F5455}">
      <text>
        <r>
          <rPr>
            <b/>
            <sz val="9"/>
            <color indexed="81"/>
            <rFont val="Tahoma"/>
            <family val="2"/>
            <charset val="204"/>
          </rPr>
          <t>3%</t>
        </r>
      </text>
    </comment>
    <comment ref="E43" authorId="0" guid="{D91E84E8-7A5C-40D8-AB06-3EF3BECB4A8B}">
      <text>
        <r>
          <rPr>
            <b/>
            <sz val="9"/>
            <color indexed="81"/>
            <rFont val="Tahoma"/>
            <family val="2"/>
            <charset val="204"/>
          </rPr>
          <t>25%</t>
        </r>
      </text>
    </comment>
    <comment ref="F45" authorId="1" guid="{D25C5EAB-3C02-4EFB-A3B8-F0744C5F45E6}">
      <text>
        <r>
          <rPr>
            <b/>
            <sz val="9"/>
            <color indexed="81"/>
            <rFont val="Tahoma"/>
            <family val="2"/>
            <charset val="204"/>
          </rPr>
          <t xml:space="preserve">20% </t>
        </r>
      </text>
    </comment>
    <comment ref="G45" authorId="1" guid="{FECE844F-74CF-4622-90F4-C01F1D7B4AA8}">
      <text>
        <r>
          <rPr>
            <b/>
            <sz val="9"/>
            <color indexed="81"/>
            <rFont val="Tahoma"/>
            <family val="2"/>
            <charset val="204"/>
          </rPr>
          <t>15%</t>
        </r>
      </text>
    </comment>
    <comment ref="H45" authorId="1" guid="{2FCF3F5F-99B9-4728-A75A-53F3A8982FD4}">
      <text>
        <r>
          <rPr>
            <b/>
            <sz val="9"/>
            <color indexed="81"/>
            <rFont val="Tahoma"/>
            <family val="2"/>
            <charset val="204"/>
          </rPr>
          <t>10%</t>
        </r>
      </text>
    </comment>
    <comment ref="I45" authorId="1" guid="{7C697B17-91F7-4108-A72B-920B9DCF4ABF}">
      <text>
        <r>
          <rPr>
            <b/>
            <sz val="9"/>
            <color indexed="81"/>
            <rFont val="Tahoma"/>
            <family val="2"/>
            <charset val="204"/>
          </rPr>
          <t>3%</t>
        </r>
      </text>
    </comment>
    <comment ref="J45" authorId="1" guid="{401BF3E5-97D2-4E5A-B0C1-3BD192D4BCA2}">
      <text>
        <r>
          <rPr>
            <b/>
            <sz val="9"/>
            <color indexed="81"/>
            <rFont val="Tahoma"/>
            <family val="2"/>
            <charset val="204"/>
          </rPr>
          <t>3%</t>
        </r>
      </text>
    </comment>
    <comment ref="E68" authorId="0" guid="{0E15EDBA-D749-4E81-807E-117677BFC8FF}">
      <text>
        <r>
          <rPr>
            <b/>
            <sz val="9"/>
            <color indexed="81"/>
            <rFont val="Tahoma"/>
            <family val="2"/>
            <charset val="204"/>
          </rPr>
          <t>25%</t>
        </r>
      </text>
    </comment>
    <comment ref="F70" authorId="1" guid="{5CB45C19-356B-4A62-8BA9-B120F650987E}">
      <text>
        <r>
          <rPr>
            <b/>
            <sz val="9"/>
            <color indexed="81"/>
            <rFont val="Tahoma"/>
            <family val="2"/>
            <charset val="204"/>
          </rPr>
          <t xml:space="preserve">20% </t>
        </r>
      </text>
    </comment>
    <comment ref="G70" authorId="1" guid="{996C5B0C-C491-4ADF-B200-D63725ACBB10}">
      <text>
        <r>
          <rPr>
            <b/>
            <sz val="9"/>
            <color indexed="81"/>
            <rFont val="Tahoma"/>
            <family val="2"/>
            <charset val="204"/>
          </rPr>
          <t>15%</t>
        </r>
      </text>
    </comment>
    <comment ref="H70" authorId="1" guid="{8EF45A48-6542-445D-96E1-B0630366AFF6}">
      <text>
        <r>
          <rPr>
            <b/>
            <sz val="9"/>
            <color indexed="81"/>
            <rFont val="Tahoma"/>
            <family val="2"/>
            <charset val="204"/>
          </rPr>
          <t>10%</t>
        </r>
      </text>
    </comment>
    <comment ref="I70" authorId="1" guid="{7F1B4085-E5EE-4389-A123-BAEE073CAA26}">
      <text>
        <r>
          <rPr>
            <b/>
            <sz val="9"/>
            <color indexed="81"/>
            <rFont val="Tahoma"/>
            <family val="2"/>
            <charset val="204"/>
          </rPr>
          <t>3%</t>
        </r>
      </text>
    </comment>
    <comment ref="J70" authorId="1" guid="{A7125A17-414D-4F2E-9B7E-DF4D76E1B8F3}">
      <text>
        <r>
          <rPr>
            <b/>
            <sz val="9"/>
            <color indexed="81"/>
            <rFont val="Tahoma"/>
            <family val="2"/>
            <charset val="204"/>
          </rPr>
          <t>3%</t>
        </r>
      </text>
    </comment>
    <comment ref="E87" authorId="0" guid="{7F438D5C-7D62-4C15-8D93-0AFE877FAA69}">
      <text>
        <r>
          <rPr>
            <b/>
            <sz val="9"/>
            <color indexed="81"/>
            <rFont val="Tahoma"/>
            <family val="2"/>
            <charset val="204"/>
          </rPr>
          <t>25%</t>
        </r>
      </text>
    </comment>
    <comment ref="F89" authorId="1" guid="{422FF6E0-07BE-4173-BC35-34D34E1367D5}">
      <text>
        <r>
          <rPr>
            <b/>
            <sz val="9"/>
            <color indexed="81"/>
            <rFont val="Tahoma"/>
            <family val="2"/>
            <charset val="204"/>
          </rPr>
          <t xml:space="preserve">20% </t>
        </r>
      </text>
    </comment>
    <comment ref="G89" authorId="1" guid="{85495C7C-2CAB-429D-8ED4-C7FA4421DD0C}">
      <text>
        <r>
          <rPr>
            <b/>
            <sz val="9"/>
            <color indexed="81"/>
            <rFont val="Tahoma"/>
            <family val="2"/>
            <charset val="204"/>
          </rPr>
          <t>15%</t>
        </r>
      </text>
    </comment>
    <comment ref="H89" authorId="1" guid="{6B453CFB-D24C-47C2-B265-DE6C0364E353}">
      <text>
        <r>
          <rPr>
            <b/>
            <sz val="9"/>
            <color indexed="81"/>
            <rFont val="Tahoma"/>
            <family val="2"/>
            <charset val="204"/>
          </rPr>
          <t>10%</t>
        </r>
      </text>
    </comment>
    <comment ref="I89" authorId="1" guid="{85FD64DB-6AD9-4BF2-BEFF-C130CA96AEEF}">
      <text>
        <r>
          <rPr>
            <b/>
            <sz val="9"/>
            <color indexed="81"/>
            <rFont val="Tahoma"/>
            <family val="2"/>
            <charset val="204"/>
          </rPr>
          <t>3%</t>
        </r>
      </text>
    </comment>
    <comment ref="J89" authorId="1" guid="{E23C1CF8-865F-4DBB-9162-BCBC63AA2A94}">
      <text>
        <r>
          <rPr>
            <b/>
            <sz val="9"/>
            <color indexed="81"/>
            <rFont val="Tahoma"/>
            <family val="2"/>
            <charset val="204"/>
          </rPr>
          <t>3%</t>
        </r>
      </text>
    </comment>
  </commentList>
</comments>
</file>

<file path=xl/comments12.xml><?xml version="1.0" encoding="utf-8"?>
<comments xmlns="http://schemas.openxmlformats.org/spreadsheetml/2006/main">
  <authors>
    <author>Поляков Андрей</author>
    <author>111</author>
  </authors>
  <commentList>
    <comment ref="J3" authorId="0" guid="{6AE932A8-8D95-46F7-9B68-74DBB0F8AB47}">
      <text>
        <r>
          <rPr>
            <b/>
            <sz val="9"/>
            <color indexed="81"/>
            <rFont val="Tahoma"/>
            <family val="2"/>
            <charset val="204"/>
          </rPr>
          <t>5%</t>
        </r>
      </text>
    </comment>
    <comment ref="D4" authorId="1" guid="{7F17E387-4C29-4B7E-8587-AA1752DE271D}">
      <text>
        <r>
          <rPr>
            <b/>
            <sz val="9"/>
            <color indexed="81"/>
            <rFont val="Tahoma"/>
            <family val="2"/>
            <charset val="204"/>
          </rPr>
          <t>25%</t>
        </r>
      </text>
    </comment>
    <comment ref="E4" authorId="1" guid="{F5D292C2-36C3-4360-B7BE-A2DF061B402B}">
      <text>
        <r>
          <rPr>
            <b/>
            <sz val="9"/>
            <color indexed="81"/>
            <rFont val="Tahoma"/>
            <family val="2"/>
            <charset val="204"/>
          </rPr>
          <t>20%</t>
        </r>
      </text>
    </comment>
    <comment ref="F4" authorId="1" guid="{E2CBDA9B-EBF6-47DD-88A2-D33B4AB9E441}">
      <text>
        <r>
          <rPr>
            <b/>
            <sz val="9"/>
            <color indexed="81"/>
            <rFont val="Tahoma"/>
            <family val="2"/>
            <charset val="204"/>
          </rPr>
          <t>15%</t>
        </r>
      </text>
    </comment>
    <comment ref="G4" authorId="1" guid="{290ED607-B08D-4FA6-810E-47C679ABE185}">
      <text>
        <r>
          <rPr>
            <b/>
            <sz val="9"/>
            <color indexed="81"/>
            <rFont val="Tahoma"/>
            <family val="2"/>
            <charset val="204"/>
          </rPr>
          <t>10%</t>
        </r>
      </text>
    </comment>
    <comment ref="H4" authorId="1" guid="{6C726A7D-05B8-40F4-81BC-EACA773B338F}">
      <text>
        <r>
          <rPr>
            <b/>
            <sz val="9"/>
            <color indexed="81"/>
            <rFont val="Tahoma"/>
            <family val="2"/>
            <charset val="204"/>
          </rPr>
          <t>5%</t>
        </r>
      </text>
    </comment>
  </commentList>
</comments>
</file>

<file path=xl/comments13.xml><?xml version="1.0" encoding="utf-8"?>
<comments xmlns="http://schemas.openxmlformats.org/spreadsheetml/2006/main">
  <authors>
    <author>Поляков Андрей</author>
    <author>111</author>
  </authors>
  <commentList>
    <comment ref="I3" authorId="0" guid="{680DEA6A-70A2-41BB-AFED-E35B997B3E77}">
      <text>
        <r>
          <rPr>
            <b/>
            <sz val="9"/>
            <color indexed="81"/>
            <rFont val="Tahoma"/>
            <family val="2"/>
            <charset val="204"/>
          </rPr>
          <t>+60р</t>
        </r>
      </text>
    </comment>
    <comment ref="D4" authorId="1" guid="{44DB8A97-7D0B-48DA-9904-69BAEA365A06}">
      <text>
        <r>
          <rPr>
            <b/>
            <sz val="9"/>
            <color indexed="81"/>
            <rFont val="Tahoma"/>
            <family val="2"/>
            <charset val="204"/>
          </rPr>
          <t>20%</t>
        </r>
      </text>
    </comment>
    <comment ref="E4" authorId="1" guid="{00111C18-1B6C-48B3-8C78-D318F0913643}">
      <text>
        <r>
          <rPr>
            <b/>
            <sz val="9"/>
            <color indexed="81"/>
            <rFont val="Tahoma"/>
            <family val="2"/>
            <charset val="204"/>
          </rPr>
          <t>15%</t>
        </r>
      </text>
    </comment>
    <comment ref="F4" authorId="1" guid="{AEE66B07-172D-4DC9-9422-395B476A5C3C}">
      <text>
        <r>
          <rPr>
            <b/>
            <sz val="9"/>
            <color indexed="81"/>
            <rFont val="Tahoma"/>
            <family val="2"/>
            <charset val="204"/>
          </rPr>
          <t>10%</t>
        </r>
      </text>
    </comment>
    <comment ref="G4" authorId="1" guid="{DBA61479-9502-4614-954E-B70AF9785194}">
      <text>
        <r>
          <rPr>
            <b/>
            <sz val="9"/>
            <color indexed="81"/>
            <rFont val="Tahoma"/>
            <family val="2"/>
            <charset val="204"/>
          </rPr>
          <t>5%</t>
        </r>
      </text>
    </comment>
  </commentList>
</comments>
</file>

<file path=xl/comments2.xml><?xml version="1.0" encoding="utf-8"?>
<comments xmlns="http://schemas.openxmlformats.org/spreadsheetml/2006/main">
  <authors>
    <author>111</author>
  </authors>
  <commentList>
    <comment ref="H5" authorId="0" guid="{3E99426E-AC71-41FC-BBE2-50DEFF65A48D}">
      <text>
        <r>
          <rPr>
            <b/>
            <sz val="9"/>
            <color indexed="81"/>
            <rFont val="Tahoma"/>
            <family val="2"/>
            <charset val="204"/>
          </rPr>
          <t>25%</t>
        </r>
      </text>
    </comment>
    <comment ref="I5" authorId="0" guid="{6A351E03-B406-41F8-9E45-F6CC8E365AFA}">
      <text>
        <r>
          <rPr>
            <b/>
            <sz val="9"/>
            <color indexed="81"/>
            <rFont val="Tahoma"/>
            <family val="2"/>
            <charset val="204"/>
          </rPr>
          <t>20%</t>
        </r>
      </text>
    </comment>
    <comment ref="J5" authorId="0" guid="{88CF53D8-D933-4C3A-AD79-31EFC17473A0}">
      <text>
        <r>
          <rPr>
            <b/>
            <sz val="9"/>
            <color indexed="81"/>
            <rFont val="Tahoma"/>
            <family val="2"/>
            <charset val="204"/>
          </rPr>
          <t>10%</t>
        </r>
      </text>
    </comment>
    <comment ref="K5" authorId="0" guid="{6C7802B7-A904-45FF-8A01-B07B9AA7CAA6}">
      <text>
        <r>
          <rPr>
            <b/>
            <sz val="9"/>
            <color indexed="81"/>
            <rFont val="Tahoma"/>
            <family val="2"/>
            <charset val="204"/>
          </rPr>
          <t>3%</t>
        </r>
      </text>
    </comment>
    <comment ref="L5" authorId="0" guid="{BE94374B-ECDC-4724-896C-299AF1490777}">
      <text>
        <r>
          <rPr>
            <b/>
            <sz val="9"/>
            <color indexed="81"/>
            <rFont val="Tahoma"/>
            <family val="2"/>
            <charset val="204"/>
          </rPr>
          <t>3%</t>
        </r>
      </text>
    </comment>
  </commentList>
</comments>
</file>

<file path=xl/comments3.xml><?xml version="1.0" encoding="utf-8"?>
<comments xmlns="http://schemas.openxmlformats.org/spreadsheetml/2006/main">
  <authors>
    <author>111</author>
  </authors>
  <commentList>
    <comment ref="F5" authorId="0" guid="{4DABBCDA-8EB7-4A01-9C86-55B92DD3BC6D}">
      <text>
        <r>
          <rPr>
            <b/>
            <sz val="9"/>
            <color indexed="81"/>
            <rFont val="Tahoma"/>
            <family val="2"/>
            <charset val="204"/>
          </rPr>
          <t>25%</t>
        </r>
      </text>
    </comment>
    <comment ref="G5" authorId="0" guid="{5062E423-59E4-4BF0-A871-4F41473C3780}">
      <text>
        <r>
          <rPr>
            <b/>
            <sz val="9"/>
            <color indexed="81"/>
            <rFont val="Tahoma"/>
            <family val="2"/>
            <charset val="204"/>
          </rPr>
          <t>3%</t>
        </r>
      </text>
    </comment>
  </commentList>
</comments>
</file>

<file path=xl/comments4.xml><?xml version="1.0" encoding="utf-8"?>
<comments xmlns="http://schemas.openxmlformats.org/spreadsheetml/2006/main">
  <authors>
    <author>111</author>
  </authors>
  <commentList>
    <comment ref="E5" authorId="0" guid="{8D0836C0-5A8D-401F-A6F6-47C58668440E}">
      <text>
        <r>
          <rPr>
            <b/>
            <sz val="9"/>
            <color indexed="81"/>
            <rFont val="Tahoma"/>
            <family val="2"/>
            <charset val="204"/>
          </rPr>
          <t>25%</t>
        </r>
      </text>
    </comment>
    <comment ref="F5" authorId="0" guid="{A49A5E8F-974F-4464-8993-BF6511A8EC45}">
      <text>
        <r>
          <rPr>
            <b/>
            <sz val="9"/>
            <color indexed="81"/>
            <rFont val="Tahoma"/>
            <family val="2"/>
            <charset val="204"/>
          </rPr>
          <t>3%</t>
        </r>
      </text>
    </comment>
  </commentList>
</comments>
</file>

<file path=xl/comments5.xml><?xml version="1.0" encoding="utf-8"?>
<comments xmlns="http://schemas.openxmlformats.org/spreadsheetml/2006/main">
  <authors>
    <author>111</author>
  </authors>
  <commentList>
    <comment ref="F5" authorId="0" guid="{63DE59E4-5B65-4D87-8061-B44CE198D2B5}">
      <text>
        <r>
          <rPr>
            <b/>
            <sz val="9"/>
            <color indexed="81"/>
            <rFont val="Tahoma"/>
            <family val="2"/>
            <charset val="204"/>
          </rPr>
          <t>20%</t>
        </r>
      </text>
    </comment>
    <comment ref="G5" authorId="0" guid="{8ADB6898-ABAB-4CE5-862D-B22CD4ECC8EB}">
      <text>
        <r>
          <rPr>
            <b/>
            <sz val="9"/>
            <color indexed="81"/>
            <rFont val="Tahoma"/>
            <family val="2"/>
            <charset val="204"/>
          </rPr>
          <t>10%</t>
        </r>
      </text>
    </comment>
  </commentList>
</comments>
</file>

<file path=xl/comments6.xml><?xml version="1.0" encoding="utf-8"?>
<comments xmlns="http://schemas.openxmlformats.org/spreadsheetml/2006/main">
  <authors>
    <author>Поляков Андрей</author>
    <author>111</author>
  </authors>
  <commentList>
    <comment ref="H3" authorId="0" guid="{EB1D4D01-BADF-4E2F-9BD1-9D438FD94EA7}">
      <text>
        <r>
          <rPr>
            <b/>
            <sz val="9"/>
            <color indexed="81"/>
            <rFont val="Tahoma"/>
            <family val="2"/>
            <charset val="204"/>
          </rPr>
          <t>5%</t>
        </r>
      </text>
    </comment>
    <comment ref="E4" authorId="1" guid="{F3037F10-E7A8-4831-9B43-B1D7DC9691C4}">
      <text>
        <r>
          <rPr>
            <b/>
            <sz val="9"/>
            <color indexed="81"/>
            <rFont val="Tahoma"/>
            <family val="2"/>
            <charset val="204"/>
          </rPr>
          <t>15%</t>
        </r>
      </text>
    </comment>
    <comment ref="F4" authorId="1" guid="{852D0606-F51F-45C3-933E-649706A1DC68}">
      <text>
        <r>
          <rPr>
            <b/>
            <sz val="9"/>
            <color indexed="81"/>
            <rFont val="Tahoma"/>
            <family val="2"/>
            <charset val="204"/>
          </rPr>
          <t>10%</t>
        </r>
      </text>
    </comment>
  </commentList>
</comments>
</file>

<file path=xl/comments7.xml><?xml version="1.0" encoding="utf-8"?>
<comments xmlns="http://schemas.openxmlformats.org/spreadsheetml/2006/main">
  <authors>
    <author>111</author>
  </authors>
  <commentList>
    <comment ref="D4" authorId="0" guid="{216DC18B-4328-48D1-91EA-0520626C4CF2}">
      <text>
        <r>
          <rPr>
            <b/>
            <sz val="9"/>
            <color indexed="81"/>
            <rFont val="Tahoma"/>
            <family val="2"/>
            <charset val="204"/>
          </rPr>
          <t>25%</t>
        </r>
      </text>
    </comment>
    <comment ref="E4" authorId="0" guid="{1A2FD714-E03F-454D-A6DD-200B4CF36A08}">
      <text>
        <r>
          <rPr>
            <b/>
            <sz val="9"/>
            <color indexed="81"/>
            <rFont val="Tahoma"/>
            <family val="2"/>
            <charset val="204"/>
          </rPr>
          <t>20%</t>
        </r>
      </text>
    </comment>
    <comment ref="F4" authorId="0" guid="{F44D07F7-653D-4C30-9D23-020D2B9F8156}">
      <text>
        <r>
          <rPr>
            <b/>
            <sz val="9"/>
            <color indexed="81"/>
            <rFont val="Tahoma"/>
            <family val="2"/>
            <charset val="204"/>
          </rPr>
          <t>15%</t>
        </r>
      </text>
    </comment>
    <comment ref="G4" authorId="0" guid="{4FA07183-42F6-4AED-AD2A-97603342B1C1}">
      <text>
        <r>
          <rPr>
            <b/>
            <sz val="9"/>
            <color indexed="81"/>
            <rFont val="Tahoma"/>
            <family val="2"/>
            <charset val="204"/>
          </rPr>
          <t>10%</t>
        </r>
      </text>
    </comment>
    <comment ref="H4" authorId="0" guid="{048C781A-0BE8-47FA-9022-5C5ED1BC4A90}">
      <text>
        <r>
          <rPr>
            <b/>
            <sz val="9"/>
            <color indexed="81"/>
            <rFont val="Tahoma"/>
            <family val="2"/>
            <charset val="204"/>
          </rPr>
          <t>5%</t>
        </r>
      </text>
    </comment>
  </commentList>
</comments>
</file>

<file path=xl/comments8.xml><?xml version="1.0" encoding="utf-8"?>
<comments xmlns="http://schemas.openxmlformats.org/spreadsheetml/2006/main">
  <authors>
    <author>111</author>
  </authors>
  <commentList>
    <comment ref="D4" authorId="0" guid="{A084B5BB-D34F-4108-B98B-17A172627C19}">
      <text>
        <r>
          <rPr>
            <b/>
            <sz val="9"/>
            <color indexed="81"/>
            <rFont val="Tahoma"/>
            <family val="2"/>
            <charset val="204"/>
          </rPr>
          <t>25%</t>
        </r>
      </text>
    </comment>
    <comment ref="E4" authorId="0" guid="{A1A7649C-F152-4445-A31E-73F8478D7DCB}">
      <text>
        <r>
          <rPr>
            <b/>
            <sz val="9"/>
            <color indexed="81"/>
            <rFont val="Tahoma"/>
            <family val="2"/>
            <charset val="204"/>
          </rPr>
          <t>20%</t>
        </r>
      </text>
    </comment>
    <comment ref="F4" authorId="0" guid="{76653D12-DD48-42C3-B066-703CC5D2A735}">
      <text>
        <r>
          <rPr>
            <b/>
            <sz val="9"/>
            <color indexed="81"/>
            <rFont val="Tahoma"/>
            <family val="2"/>
            <charset val="204"/>
          </rPr>
          <t>15%</t>
        </r>
      </text>
    </comment>
    <comment ref="G4" authorId="0" guid="{D9A05C72-C221-4E29-A395-B24EC9CC33A5}">
      <text>
        <r>
          <rPr>
            <b/>
            <sz val="9"/>
            <color indexed="81"/>
            <rFont val="Tahoma"/>
            <family val="2"/>
            <charset val="204"/>
          </rPr>
          <t>10%</t>
        </r>
      </text>
    </comment>
    <comment ref="H4" authorId="0" guid="{4B96CC5C-2B53-4684-96D1-9B9F2EA1B4D9}">
      <text>
        <r>
          <rPr>
            <b/>
            <sz val="9"/>
            <color indexed="81"/>
            <rFont val="Tahoma"/>
            <family val="2"/>
            <charset val="204"/>
          </rPr>
          <t>5%</t>
        </r>
      </text>
    </comment>
  </commentList>
</comments>
</file>

<file path=xl/comments9.xml><?xml version="1.0" encoding="utf-8"?>
<comments xmlns="http://schemas.openxmlformats.org/spreadsheetml/2006/main">
  <authors>
    <author>Поляков Андрей</author>
    <author>111</author>
  </authors>
  <commentList>
    <comment ref="E3" authorId="0" guid="{621DD33D-65E6-45B5-8A32-909AE20BE8C9}">
      <text>
        <r>
          <rPr>
            <b/>
            <sz val="9"/>
            <color indexed="81"/>
            <rFont val="Tahoma"/>
            <family val="2"/>
            <charset val="204"/>
          </rPr>
          <t>25%</t>
        </r>
      </text>
    </comment>
    <comment ref="F5" authorId="1" guid="{35F25EE4-CE38-4615-8B1D-582E8A025A10}">
      <text>
        <r>
          <rPr>
            <b/>
            <sz val="9"/>
            <color indexed="81"/>
            <rFont val="Tahoma"/>
            <family val="2"/>
            <charset val="204"/>
          </rPr>
          <t xml:space="preserve">20% </t>
        </r>
      </text>
    </comment>
    <comment ref="G5" authorId="1" guid="{D6E725AA-03BD-48E8-997E-B57BF8C703C9}">
      <text>
        <r>
          <rPr>
            <b/>
            <sz val="9"/>
            <color indexed="81"/>
            <rFont val="Tahoma"/>
            <family val="2"/>
            <charset val="204"/>
          </rPr>
          <t>15%</t>
        </r>
      </text>
    </comment>
    <comment ref="H5" authorId="1" guid="{BC7A66FA-D658-42DE-B079-A0CE56DA307B}">
      <text>
        <r>
          <rPr>
            <b/>
            <sz val="9"/>
            <color indexed="81"/>
            <rFont val="Tahoma"/>
            <family val="2"/>
            <charset val="204"/>
          </rPr>
          <t>10%</t>
        </r>
      </text>
    </comment>
    <comment ref="I5" authorId="1" guid="{A693E67B-AE7A-4D58-99C9-5F6F182A7294}">
      <text>
        <r>
          <rPr>
            <b/>
            <sz val="9"/>
            <color indexed="81"/>
            <rFont val="Tahoma"/>
            <family val="2"/>
            <charset val="204"/>
          </rPr>
          <t>3%</t>
        </r>
      </text>
    </comment>
  </commentList>
</comments>
</file>

<file path=xl/sharedStrings.xml><?xml version="1.0" encoding="utf-8"?>
<sst xmlns="http://schemas.openxmlformats.org/spreadsheetml/2006/main" count="4047" uniqueCount="2540">
  <si>
    <t>Область применения.</t>
  </si>
  <si>
    <t>м2</t>
  </si>
  <si>
    <t>м3</t>
  </si>
  <si>
    <t>Утеплитель для деревянного домостроения - Система скатной кровли»холодный чердак»- Система утепления по лагам- Утепленная система скатной кровли.</t>
  </si>
  <si>
    <t>1200*600*50</t>
  </si>
  <si>
    <t>1200*600*100</t>
  </si>
  <si>
    <t>Теплоизоляция скатной кровли, чердачных и межкомнатных перекрытий, полов, каркасных стен и перегородок.</t>
  </si>
  <si>
    <t>Рекомендована для звукоизоляции каркасных стен, офисных и межкомнатных перегородок, полов и перекрытий. Индекс звукоизоляции воздушного шума, Rw-53дБ (согласно протокола испытаний НИИСФ РААСН</t>
  </si>
  <si>
    <t>Специализированная  изоляция для внешнего утепления стен. Используется в качестве тепло- и звукоизоляционного слоя в системах вентилируемых фасадов.</t>
  </si>
  <si>
    <t>Профессиональная серия базальтового утеплителя, применяемая в однослойном исполнении в качестве теплоизоляционного слоя в фасадных системах с вентилируемым воздушным зазором. В сочетании с Хотрок ВЕНТ используется в качестве верхнего теплоизоляционного слоя в фасадных системах с вентилируемым воздушным зазором  различных стен зданий и сооружений</t>
  </si>
  <si>
    <t>Промышленная серия базальтовых изоляционных плит для систем вентилируемых фасадов. Рекомендована для изоляции  в системах утепления с вентилируемым воздушным зазором наружных стен зданий.</t>
  </si>
  <si>
    <t>Применяется в системах наружного утепления стен с защитно-декоративным слоем из тонкослойной и толстослойной штукатурки.</t>
  </si>
  <si>
    <t>Специальная серия базальтовых утеплителей для двухслойной плоской кровли. Применяются в качестве нижнего теплоизоляционного слоя двухслойной плоской кровли с основной из железобетона или металлического настила.</t>
  </si>
  <si>
    <t>Применяются в качестве верхнего теплоизоляционного слоя двухслойной системы плоской кровли с основой из железобетона или металлического профилированного настила.</t>
  </si>
  <si>
    <t>Рекомендована для систем наружного утепления стен с защитно-декоративным слоем из тонкослойной и толстослойной штукатурки.</t>
  </si>
  <si>
    <t>Параметры упаковки</t>
  </si>
  <si>
    <t>Габаритные размеры плиты</t>
  </si>
  <si>
    <t>от 1 м3</t>
  </si>
  <si>
    <t>от 80 м3</t>
  </si>
  <si>
    <t>от 20 м3</t>
  </si>
  <si>
    <t>от 40 м3</t>
  </si>
  <si>
    <t>шт</t>
  </si>
  <si>
    <t>г. Москва</t>
  </si>
  <si>
    <t>Наименование продукции               (пл. ρ±10%)</t>
  </si>
  <si>
    <r>
      <t xml:space="preserve">Хотрок СМАРТ             </t>
    </r>
    <r>
      <rPr>
        <sz val="10"/>
        <rFont val="Palatino Linotype"/>
        <family val="1"/>
        <charset val="204"/>
      </rPr>
      <t>Пл.22кг/м3 
λ-0,36 Вт/м*К</t>
    </r>
  </si>
  <si>
    <r>
      <t xml:space="preserve">Хотрок ЛАЙТ </t>
    </r>
    <r>
      <rPr>
        <sz val="10"/>
        <rFont val="Palatino Linotype"/>
        <family val="1"/>
        <charset val="204"/>
      </rPr>
      <t>Пл.35кг/м3
λ-0,35 Вт/м*К</t>
    </r>
  </si>
  <si>
    <r>
      <t xml:space="preserve">Хотрок  БЛОК </t>
    </r>
    <r>
      <rPr>
        <sz val="10"/>
        <rFont val="Palatino Linotype"/>
        <family val="1"/>
        <charset val="204"/>
      </rPr>
      <t>Пл.50кг/м3
λ-0,35 Вт/м*К</t>
    </r>
  </si>
  <si>
    <r>
      <t xml:space="preserve">Хотрок  АКУСТИК </t>
    </r>
    <r>
      <rPr>
        <sz val="10"/>
        <rFont val="Palatino Linotype"/>
        <family val="1"/>
        <charset val="204"/>
      </rPr>
      <t>Пл.40кг/м3 
λ-0,36 Вт/м*К
Снижает уровень шума на 45дБ.</t>
    </r>
  </si>
  <si>
    <r>
      <t xml:space="preserve">Хотрок ВЕНТ ЛАЙТ </t>
    </r>
    <r>
      <rPr>
        <sz val="10"/>
        <color rgb="FF000000"/>
        <rFont val="Palatino Linotype"/>
        <family val="1"/>
        <charset val="204"/>
      </rPr>
      <t>Пл. 60кг/м3
λ-0,34 Вт/м*К</t>
    </r>
  </si>
  <si>
    <r>
      <t xml:space="preserve">Хотрок ВЕНТ ПРО  </t>
    </r>
    <r>
      <rPr>
        <sz val="10"/>
        <color rgb="FF000000"/>
        <rFont val="Palatino Linotype"/>
        <family val="1"/>
        <charset val="204"/>
      </rPr>
      <t>Пл. 75кг/м3
λ-0,35 Вт/м*К</t>
    </r>
  </si>
  <si>
    <r>
      <t xml:space="preserve">Хотрок ВЕНТ </t>
    </r>
    <r>
      <rPr>
        <sz val="10"/>
        <color rgb="FF000000"/>
        <rFont val="Palatino Linotype"/>
        <family val="1"/>
        <charset val="204"/>
      </rPr>
      <t>Пл.90кг/м3
λ-0,35 Вт/м*К</t>
    </r>
  </si>
  <si>
    <r>
      <t xml:space="preserve">Хотрок ФАСАД ПРО </t>
    </r>
    <r>
      <rPr>
        <sz val="10"/>
        <color rgb="FF000000"/>
        <rFont val="Palatino Linotype"/>
        <family val="1"/>
        <charset val="204"/>
      </rPr>
      <t>Пл.110кг/м3
λ-0,36 Вт/м*К
15 кПа -отрыв слоёв
40 кПа -проч.на сжат.</t>
    </r>
  </si>
  <si>
    <r>
      <t xml:space="preserve">Хотрок РУФ Н </t>
    </r>
    <r>
      <rPr>
        <sz val="10"/>
        <color rgb="FF000000"/>
        <rFont val="Palatino Linotype"/>
        <family val="1"/>
        <charset val="204"/>
      </rPr>
      <t>Пл.110кг/м3
λ-0,36 Вт/м*К
42 кПа - проч.на сжат.</t>
    </r>
  </si>
  <si>
    <r>
      <t xml:space="preserve">Хотрок ФАСАД ЛАЙТ 
</t>
    </r>
    <r>
      <rPr>
        <sz val="10"/>
        <rFont val="Palatino Linotype"/>
        <family val="1"/>
        <charset val="204"/>
      </rPr>
      <t>Пл.130кг/м3
λ-0,36 Вт/м*К
18 кПа -отрыв слоёв
45 кПа -проч.на сжат.</t>
    </r>
  </si>
  <si>
    <r>
      <t xml:space="preserve">Хотрок ФАСАД </t>
    </r>
    <r>
      <rPr>
        <sz val="10"/>
        <rFont val="Palatino Linotype"/>
        <family val="1"/>
        <charset val="204"/>
      </rPr>
      <t>Пл.160кг/м3
λ-0,38 Вт/м*К                21 кПа -отрыв слоёв
55 кПа -проч.на сжат.</t>
    </r>
  </si>
  <si>
    <r>
      <t xml:space="preserve">Хотрок Руф В </t>
    </r>
    <r>
      <rPr>
        <sz val="10"/>
        <rFont val="Palatino Linotype"/>
        <family val="1"/>
        <charset val="204"/>
      </rPr>
      <t>Пл.170кг/м3
λ-0,39 Вт/м*К
60 кПа -проч.на сжат.</t>
    </r>
    <r>
      <rPr>
        <b/>
        <sz val="10"/>
        <rFont val="Palatino Linotype"/>
        <family val="1"/>
        <charset val="204"/>
      </rPr>
      <t xml:space="preserve">
</t>
    </r>
  </si>
  <si>
    <t>вх. Москва (самов.)</t>
  </si>
  <si>
    <t>Цена РУБ с НДС (самовывоз)</t>
  </si>
  <si>
    <t>г. Орел</t>
  </si>
  <si>
    <t xml:space="preserve">Наименование продукции              </t>
  </si>
  <si>
    <r>
      <t>1200*600*</t>
    </r>
    <r>
      <rPr>
        <b/>
        <sz val="10"/>
        <color theme="1"/>
        <rFont val="Palatino Linotype"/>
        <family val="1"/>
        <charset val="204"/>
      </rPr>
      <t>50/100</t>
    </r>
  </si>
  <si>
    <t>5,76/2,88</t>
  </si>
  <si>
    <t>8/4</t>
  </si>
  <si>
    <t>вх. Тамбов (самов.)</t>
  </si>
  <si>
    <t>Предназначены для применения в качестве ненагружаемой тепло-, звукоизоляции горизонтальных, вертикальных и наклонных строительных ограждающих конструкций всех типов зданий, в том числе: каркасных стенах и перегородках; мансардах и межэтажных перекрытиях.</t>
  </si>
  <si>
    <t>Предназначены для применения в качестве ненагружаемой тепло-, звукоизоляции горизонтальных, вертикальных и наклонных строительных ограждающих конструкций всех типов зданий, в том числе: в трехслойной облегченной кладке (слоистой, колодцевой); в качестве внутреннего слоя в навесных фасадах с воздушным зазором (вентилируемых фасадах) при двухслойной схеме утепления; каркасных стенах и перегородках; мансардах и межэтажных перекрытиях, для тепловой изоляции оборудования с температурой изолируемой поверхности от 60 до +400 °С</t>
  </si>
  <si>
    <r>
      <t>1000*500/</t>
    </r>
    <r>
      <rPr>
        <b/>
        <sz val="10"/>
        <color theme="1"/>
        <rFont val="Palatino Linotype"/>
        <family val="1"/>
        <charset val="204"/>
      </rPr>
      <t>600</t>
    </r>
    <r>
      <rPr>
        <sz val="10"/>
        <color theme="1"/>
        <rFont val="Palatino Linotype"/>
        <family val="1"/>
        <charset val="204"/>
      </rPr>
      <t>*50-200</t>
    </r>
  </si>
  <si>
    <r>
      <rPr>
        <b/>
        <sz val="10"/>
        <color theme="1"/>
        <rFont val="Palatino Linotype"/>
        <family val="1"/>
        <charset val="204"/>
      </rPr>
      <t>8/4</t>
    </r>
    <r>
      <rPr>
        <sz val="10"/>
        <color theme="1"/>
        <rFont val="Palatino Linotype"/>
        <family val="1"/>
        <charset val="204"/>
      </rPr>
      <t>/2</t>
    </r>
  </si>
  <si>
    <r>
      <t>1000*</t>
    </r>
    <r>
      <rPr>
        <b/>
        <sz val="10"/>
        <color rgb="FF000000"/>
        <rFont val="Palatino Linotype"/>
        <family val="1"/>
        <charset val="204"/>
      </rPr>
      <t>500</t>
    </r>
    <r>
      <rPr>
        <sz val="10"/>
        <color rgb="FF000000"/>
        <rFont val="Palatino Linotype"/>
        <family val="1"/>
        <charset val="204"/>
      </rPr>
      <t>/600*</t>
    </r>
    <r>
      <rPr>
        <b/>
        <sz val="10"/>
        <color rgb="FF000000"/>
        <rFont val="Palatino Linotype"/>
        <family val="1"/>
        <charset val="204"/>
      </rPr>
      <t>50/60-100</t>
    </r>
  </si>
  <si>
    <t>8/6/4</t>
  </si>
  <si>
    <t>4/3/2</t>
  </si>
  <si>
    <t>0,2/0,18/0,2</t>
  </si>
  <si>
    <t>Область применения негорючих гидрофобизированных плит из минеральной ваты на основе каменных пород</t>
  </si>
  <si>
    <r>
      <t>1000*500*</t>
    </r>
    <r>
      <rPr>
        <b/>
        <sz val="10"/>
        <color theme="1"/>
        <rFont val="Palatino Linotype"/>
        <family val="1"/>
        <charset val="204"/>
      </rPr>
      <t>50-100</t>
    </r>
  </si>
  <si>
    <t>4/2</t>
  </si>
  <si>
    <t>ПП-80 ГОСТ 9573-2012
(плотность 75-90 кг/м3)</t>
  </si>
  <si>
    <r>
      <rPr>
        <b/>
        <sz val="10"/>
        <rFont val="Palatino Linotype"/>
        <family val="1"/>
        <charset val="204"/>
      </rPr>
      <t xml:space="preserve">ПП-60 ГОСТ 9573-2012
</t>
    </r>
    <r>
      <rPr>
        <sz val="10"/>
        <rFont val="Palatino Linotype"/>
        <family val="1"/>
        <charset val="204"/>
      </rPr>
      <t>(плотность 55-65 кг/м3)</t>
    </r>
  </si>
  <si>
    <r>
      <rPr>
        <b/>
        <sz val="10"/>
        <rFont val="Palatino Linotype"/>
        <family val="1"/>
        <charset val="204"/>
      </rPr>
      <t xml:space="preserve">УЛЬТРАЛАЙТ
</t>
    </r>
    <r>
      <rPr>
        <sz val="10"/>
        <rFont val="Palatino Linotype"/>
        <family val="1"/>
        <charset val="204"/>
      </rPr>
      <t>(плотность 33 кг/м3)</t>
    </r>
  </si>
  <si>
    <r>
      <rPr>
        <b/>
        <sz val="10"/>
        <rFont val="Palatino Linotype"/>
        <family val="1"/>
        <charset val="204"/>
      </rPr>
      <t xml:space="preserve">ИЗОЛАЙТ-Л
</t>
    </r>
    <r>
      <rPr>
        <sz val="10"/>
        <rFont val="Palatino Linotype"/>
        <family val="1"/>
        <charset val="204"/>
      </rPr>
      <t>(плотность 40 кг/м3)</t>
    </r>
  </si>
  <si>
    <r>
      <rPr>
        <b/>
        <sz val="10"/>
        <rFont val="Palatino Linotype"/>
        <family val="1"/>
        <charset val="204"/>
      </rPr>
      <t xml:space="preserve">ИЗОЛАЙТ
</t>
    </r>
    <r>
      <rPr>
        <sz val="10"/>
        <rFont val="Palatino Linotype"/>
        <family val="1"/>
        <charset val="204"/>
      </rPr>
      <t>(плотность 50 кг/м3)</t>
    </r>
  </si>
  <si>
    <r>
      <t xml:space="preserve"> Плиты с</t>
    </r>
    <r>
      <rPr>
        <b/>
        <sz val="10"/>
        <rFont val="Palatino Linotype"/>
        <family val="1"/>
        <charset val="204"/>
      </rPr>
      <t xml:space="preserve"> обеспыливающими добавками. </t>
    </r>
    <r>
      <rPr>
        <sz val="10"/>
        <rFont val="Palatino Linotype"/>
        <family val="1"/>
        <charset val="204"/>
      </rPr>
      <t>Предназначены для применения в качестве ненагруженной тепло-  и звукоизоляции скатных крыш, полов, потолков, внутренних перегородок, легких каркасных конструкций, трехслойных облегченных стен малоэтажных зданий из кирпича, газобетонных и др. блоков, для тепловой изоляции оборудований и трубопроводов с температурой изолируемой поверхности от -60 до + 400 0С.</t>
    </r>
  </si>
  <si>
    <r>
      <t xml:space="preserve">Плиты с </t>
    </r>
    <r>
      <rPr>
        <b/>
        <sz val="10"/>
        <color rgb="FF000000"/>
        <rFont val="Palatino Linotype"/>
        <family val="1"/>
        <charset val="204"/>
      </rPr>
      <t>обеспыливающими добавками</t>
    </r>
    <r>
      <rPr>
        <sz val="10"/>
        <color rgb="FF000000"/>
        <rFont val="Palatino Linotype"/>
        <family val="1"/>
        <charset val="204"/>
      </rPr>
      <t>. Предназначены для применения в качестве ненагруженной тепло-  и звукоизоляции скатных крыш, полов, потолков, внутренних перегородок, легких каркасных конструкций, трехслойных облегченных стен малоэтажных зданий из кирпича, газобетонных и др. блоков, для тепловой изоляции оборудований и трубопроводов с температурой изолируемой поверхности от -60 до + 400 0С.</t>
    </r>
  </si>
  <si>
    <r>
      <t>1000*500*</t>
    </r>
    <r>
      <rPr>
        <b/>
        <sz val="10"/>
        <color rgb="FF000000"/>
        <rFont val="Palatino Linotype"/>
        <family val="1"/>
        <charset val="204"/>
      </rPr>
      <t>50-100</t>
    </r>
  </si>
  <si>
    <t>ИЗОРУФ
(плотность 150кг/м3)</t>
  </si>
  <si>
    <t>Предназначены для тепловой изоляции в покрытиях из железобетона и металлического настила с кровельным ковром из рулонных и мастичных материалов, в том числе с ковром без выравнивающих цементно-песчаных стяжек при новом строительстве, реконструкции, капитальном и текущем ремонте зданий  и сооружений различного назначения.</t>
  </si>
  <si>
    <t>1000*500/600*30-130</t>
  </si>
  <si>
    <t>8/2</t>
  </si>
  <si>
    <t>4,8/1,2</t>
  </si>
  <si>
    <t>0,144/1,156</t>
  </si>
  <si>
    <t>Isotec MП-75 (M1-75)</t>
  </si>
  <si>
    <t xml:space="preserve">Общетехническая изоляция трубопроводов и оборудования. </t>
  </si>
  <si>
    <t>Общетехническая изоляция трубопроводов и оборудования. СТЕКЛОРОВИНГ (нити из стекловолокна, скрепленные в жгут)</t>
  </si>
  <si>
    <t>Isotec MП(МС)-75 (M2-75) (металлическая сетка с одной стороны)</t>
  </si>
  <si>
    <t>2000*1000*50-100</t>
  </si>
  <si>
    <t>1</t>
  </si>
  <si>
    <t>2</t>
  </si>
  <si>
    <r>
      <rPr>
        <b/>
        <sz val="10"/>
        <color theme="1"/>
        <rFont val="Palatino Linotype"/>
        <family val="1"/>
        <charset val="204"/>
      </rPr>
      <t>0,1</t>
    </r>
    <r>
      <rPr>
        <sz val="10"/>
        <color theme="1"/>
        <rFont val="Palatino Linotype"/>
        <family val="1"/>
        <charset val="204"/>
      </rPr>
      <t>/0,2</t>
    </r>
  </si>
  <si>
    <t>2000*1000*50-101</t>
  </si>
  <si>
    <r>
      <rPr>
        <b/>
        <sz val="10"/>
        <color theme="1"/>
        <rFont val="Palatino Linotype"/>
        <family val="1"/>
        <charset val="204"/>
      </rPr>
      <t>0,1</t>
    </r>
    <r>
      <rPr>
        <sz val="10"/>
        <color theme="1"/>
        <rFont val="Palatino Linotype"/>
        <family val="1"/>
        <charset val="204"/>
      </rPr>
      <t>/0,3</t>
    </r>
    <r>
      <rPr>
        <sz val="10"/>
        <color theme="1"/>
        <rFont val="Palatino Linotype"/>
        <family val="2"/>
        <charset val="204"/>
      </rPr>
      <t/>
    </r>
  </si>
  <si>
    <t>Область применения жестких плиты из экструдированного пенополистирола.</t>
  </si>
  <si>
    <t>Плоские крыши с традиционной кровлей. 
Плоские крыши с инверсионной кровлей.
Плоские крыши по профилированному настилу.
Трехслойные стены с облицовкой из кирпича.
Стены со штукатурным фасадом.
Стены подвалов с теплоизоляцией снаружи
Стены подвалов с теплоизоляцией изнутри.
Скатные крыши с теплоизоляцией, установленной над стропилами.
Теплоизоляция балкона/лоджии с использованием экструдированного пенополистирола.
Полы по грунту
Теплые полы</t>
  </si>
  <si>
    <t>URSA XPS N-III (20mm) Группа горючести: Г3</t>
  </si>
  <si>
    <t>URSA XPS N-III (30mm) Группа горючести: Г3</t>
  </si>
  <si>
    <t>URSA XPS N-III (40mm) Группа горючести: Г3</t>
  </si>
  <si>
    <t>URSA XPS N-III (50mm) Группа горючести: Г3</t>
  </si>
  <si>
    <t>1250*600*20</t>
  </si>
  <si>
    <t>1250*600*30</t>
  </si>
  <si>
    <t>1250*600*40</t>
  </si>
  <si>
    <t>1250*600*50</t>
  </si>
  <si>
    <t>18</t>
  </si>
  <si>
    <t>10</t>
  </si>
  <si>
    <t>8</t>
  </si>
  <si>
    <t>12</t>
  </si>
  <si>
    <t>12,960</t>
  </si>
  <si>
    <t>8,496</t>
  </si>
  <si>
    <t>7,080</t>
  </si>
  <si>
    <t>4,956</t>
  </si>
  <si>
    <t>Пескобетон М-300</t>
  </si>
  <si>
    <t>50</t>
  </si>
  <si>
    <t>кол. /паллет</t>
  </si>
  <si>
    <t>35</t>
  </si>
  <si>
    <t>от 1т</t>
  </si>
  <si>
    <t>от 5т</t>
  </si>
  <si>
    <t>от 10т</t>
  </si>
  <si>
    <t>от 20т</t>
  </si>
  <si>
    <t>вход цена за кг</t>
  </si>
  <si>
    <t>25</t>
  </si>
  <si>
    <t>70</t>
  </si>
  <si>
    <t>Шпатлёвка базовая "Basis Line"</t>
  </si>
  <si>
    <t>вх. Орел +200р</t>
  </si>
  <si>
    <t>Штукатурка гипсовая "ClimLife White"</t>
  </si>
  <si>
    <t>30</t>
  </si>
  <si>
    <t>Штукатурка гипсовая "ClimLife"</t>
  </si>
  <si>
    <t>Цена с НДС мешок</t>
  </si>
  <si>
    <t>Цена с НДС за КГ (самовывоз)</t>
  </si>
  <si>
    <t>Сухая смесь кладочная М-200</t>
  </si>
  <si>
    <t>36</t>
  </si>
  <si>
    <t>Сухая смесь универсальная М-150</t>
  </si>
  <si>
    <t>40</t>
  </si>
  <si>
    <t>60</t>
  </si>
  <si>
    <t>Шпатлёвка цементная финишная "Finish Line"</t>
  </si>
  <si>
    <t>20</t>
  </si>
  <si>
    <t>Шпатлёвка гипсовая "Finish Shelk"</t>
  </si>
  <si>
    <t>15</t>
  </si>
  <si>
    <t>Шпатлёвка полимер "Finish Control"</t>
  </si>
  <si>
    <t>Штукатурка "Эталон-Пласт"</t>
  </si>
  <si>
    <t>Штукатурка гипсовая "Эталон Gipso Block"</t>
  </si>
  <si>
    <t>Штукатурка гипсовая МН "Эталон"</t>
  </si>
  <si>
    <t>Штукатурка фасадная "Эталон fasad"</t>
  </si>
  <si>
    <t>Штукатурка цементная "Paro Block"</t>
  </si>
  <si>
    <t>Штукатурка кароед "Relief"</t>
  </si>
  <si>
    <t>Алебастр строительный</t>
  </si>
  <si>
    <t>Гидроизоляционная смесь "Эталон Gidroizol"</t>
  </si>
  <si>
    <t>80</t>
  </si>
  <si>
    <t>Наливной пол быстротвердеющий "Express"</t>
  </si>
  <si>
    <t>Грунтовки</t>
  </si>
  <si>
    <t>Сухие строительные смеси</t>
  </si>
  <si>
    <t>Грунт бесконактный</t>
  </si>
  <si>
    <t>6</t>
  </si>
  <si>
    <t>Грунт глубокого проникновения</t>
  </si>
  <si>
    <t>Фасовка/кг/л</t>
  </si>
  <si>
    <t>Грунт универсальный</t>
  </si>
  <si>
    <t>Клей</t>
  </si>
  <si>
    <t>Клей для газосиликата "Эталон Teplit"</t>
  </si>
  <si>
    <t>Клей для керамогранита и тяж.плит "Elit"</t>
  </si>
  <si>
    <t>Клей для пазогребниевых плит и гипсокартона "Contact"</t>
  </si>
  <si>
    <t>Клей плиточный "Optima"</t>
  </si>
  <si>
    <t>Клей плиточный "Premium"</t>
  </si>
  <si>
    <t>Штукатурка-клиевая смесь "Teplostop"</t>
  </si>
  <si>
    <t>100</t>
  </si>
  <si>
    <t>250</t>
  </si>
  <si>
    <t>Цена с НДС за штуку (самовывоз)</t>
  </si>
  <si>
    <t>Кляммеры для крепления керамогранита (8-10мм)</t>
  </si>
  <si>
    <t>Паронитовые прокладки (терморазрывы)</t>
  </si>
  <si>
    <t>от 1т.р.</t>
  </si>
  <si>
    <t>от 1шт.</t>
  </si>
  <si>
    <t>от 10т.р.</t>
  </si>
  <si>
    <t>от 100т.р.</t>
  </si>
  <si>
    <t>Наименование продукции 
 (габаритные размеры, мм)</t>
  </si>
  <si>
    <t>40*40*0,9</t>
  </si>
  <si>
    <t>50*50*50*2</t>
  </si>
  <si>
    <t>70*50*50*2</t>
  </si>
  <si>
    <t>100*50*50*2</t>
  </si>
  <si>
    <t>120*50*50*2</t>
  </si>
  <si>
    <t>150*50*50*2</t>
  </si>
  <si>
    <t>170*50*50*2</t>
  </si>
  <si>
    <t>200*50*50*2</t>
  </si>
  <si>
    <t>220*50*50*2</t>
  </si>
  <si>
    <t>250*50*50*2</t>
  </si>
  <si>
    <t>50*50*50*1,2</t>
  </si>
  <si>
    <t>100*50*50*1,2</t>
  </si>
  <si>
    <t>120*50*50*1,2</t>
  </si>
  <si>
    <t>150*50*50*1,2</t>
  </si>
  <si>
    <t>170*50*50*1,2</t>
  </si>
  <si>
    <t>200*50*50*1,2</t>
  </si>
  <si>
    <t>60*40*0,9</t>
  </si>
  <si>
    <t>35*35*1,2</t>
  </si>
  <si>
    <t>30*40*1,2</t>
  </si>
  <si>
    <t>40*40*1,2</t>
  </si>
  <si>
    <t>60*40*1,2</t>
  </si>
  <si>
    <t>Профили фасадные угловые - горизонтальные  (Г-образные) ПОГ</t>
  </si>
  <si>
    <t>Профили фасадные шляпные - вертикальные (П-образные) ПОВ</t>
  </si>
  <si>
    <t>20*20*40*20*20*1,2</t>
  </si>
  <si>
    <t>20*20*50*20*20*1,2</t>
  </si>
  <si>
    <t>20*20*60*20*20*1,2</t>
  </si>
  <si>
    <t>20*20*80*20*20*1,2</t>
  </si>
  <si>
    <t>Ед.изм.</t>
  </si>
  <si>
    <t>Профили фасадные промежуточные - вертикальные (Z-образные) ПВП</t>
  </si>
  <si>
    <t>40*20*20*1,2</t>
  </si>
  <si>
    <t>30*20*20*1,2</t>
  </si>
  <si>
    <t>Кляммер рядовой оц. 1,2</t>
  </si>
  <si>
    <t>Кляммер стартовый (нач\заверш. Оц. 1,2</t>
  </si>
  <si>
    <t>Кляммер концевой (боковой) оц. 1,2</t>
  </si>
  <si>
    <t>Паронит 50 (для КС и КУ)</t>
  </si>
  <si>
    <t>Паронит 90 (для КСУ)</t>
  </si>
  <si>
    <t>от 50т.р.</t>
  </si>
  <si>
    <t>цена с учетом скдада</t>
  </si>
  <si>
    <t>вход цена за шт/м.п. (Белгород)</t>
  </si>
  <si>
    <t>Цена с НДС (самовывоз)</t>
  </si>
  <si>
    <t>рулон</t>
  </si>
  <si>
    <t>Плёнки гидроизоляционные (рулон - 60м2)</t>
  </si>
  <si>
    <t>Затирка в ассортименте 1-2кг (более 50 оттенков)</t>
  </si>
  <si>
    <r>
      <t xml:space="preserve">Паро-влагозащитная мембрана </t>
    </r>
    <r>
      <rPr>
        <b/>
        <sz val="10"/>
        <color theme="1"/>
        <rFont val="Palatino Linotype"/>
        <family val="1"/>
        <charset val="204"/>
      </rPr>
      <t>Изолайк А</t>
    </r>
    <r>
      <rPr>
        <sz val="10"/>
        <color theme="1"/>
        <rFont val="Palatino Linotype"/>
        <family val="1"/>
        <charset val="204"/>
      </rPr>
      <t xml:space="preserve"> </t>
    </r>
  </si>
  <si>
    <r>
      <t xml:space="preserve">Пароизоляционная мембрана </t>
    </r>
    <r>
      <rPr>
        <b/>
        <sz val="10"/>
        <color theme="1"/>
        <rFont val="Palatino Linotype"/>
        <family val="1"/>
        <charset val="204"/>
      </rPr>
      <t>Изолайк B</t>
    </r>
  </si>
  <si>
    <r>
      <t xml:space="preserve">Гидроизоляционная </t>
    </r>
    <r>
      <rPr>
        <b/>
        <sz val="10"/>
        <color theme="1"/>
        <rFont val="Palatino Linotype"/>
        <family val="1"/>
        <charset val="204"/>
      </rPr>
      <t>Изолайк D</t>
    </r>
  </si>
  <si>
    <r>
      <t xml:space="preserve">Гидро-пароизоляционная </t>
    </r>
    <r>
      <rPr>
        <b/>
        <sz val="10"/>
        <color theme="1"/>
        <rFont val="Palatino Linotype"/>
        <family val="1"/>
        <charset val="204"/>
      </rPr>
      <t>Изолайк FT</t>
    </r>
  </si>
  <si>
    <r>
      <rPr>
        <b/>
        <sz val="10"/>
        <color theme="1"/>
        <rFont val="Palatino Linotype"/>
        <family val="1"/>
        <charset val="204"/>
      </rPr>
      <t>80</t>
    </r>
    <r>
      <rPr>
        <sz val="10"/>
        <color theme="1"/>
        <rFont val="Palatino Linotype"/>
        <family val="1"/>
        <charset val="204"/>
      </rPr>
      <t xml:space="preserve"> - 0,080мм</t>
    </r>
  </si>
  <si>
    <r>
      <rPr>
        <b/>
        <sz val="10"/>
        <color theme="1"/>
        <rFont val="Palatino Linotype"/>
        <family val="1"/>
        <charset val="204"/>
      </rPr>
      <t>100</t>
    </r>
    <r>
      <rPr>
        <sz val="10"/>
        <color theme="1"/>
        <rFont val="Palatino Linotype"/>
        <family val="1"/>
        <charset val="204"/>
      </rPr>
      <t xml:space="preserve"> - 0,10мм</t>
    </r>
  </si>
  <si>
    <r>
      <rPr>
        <b/>
        <sz val="10"/>
        <color theme="1"/>
        <rFont val="Palatino Linotype"/>
        <family val="1"/>
        <charset val="204"/>
      </rPr>
      <t>120</t>
    </r>
    <r>
      <rPr>
        <sz val="10"/>
        <color theme="1"/>
        <rFont val="Palatino Linotype"/>
        <family val="1"/>
        <charset val="204"/>
      </rPr>
      <t xml:space="preserve"> - 0,12мм</t>
    </r>
  </si>
  <si>
    <r>
      <rPr>
        <b/>
        <sz val="10"/>
        <color theme="1"/>
        <rFont val="Palatino Linotype"/>
        <family val="1"/>
        <charset val="204"/>
      </rPr>
      <t>150</t>
    </r>
    <r>
      <rPr>
        <sz val="10"/>
        <color theme="1"/>
        <rFont val="Palatino Linotype"/>
        <family val="1"/>
        <charset val="204"/>
      </rPr>
      <t xml:space="preserve"> - 0,15мм</t>
    </r>
  </si>
  <si>
    <r>
      <rPr>
        <b/>
        <sz val="10"/>
        <color theme="1"/>
        <rFont val="Palatino Linotype"/>
        <family val="1"/>
        <charset val="204"/>
      </rPr>
      <t>200</t>
    </r>
    <r>
      <rPr>
        <sz val="10"/>
        <color theme="1"/>
        <rFont val="Palatino Linotype"/>
        <family val="1"/>
        <charset val="204"/>
      </rPr>
      <t xml:space="preserve"> - 0,20мм</t>
    </r>
  </si>
  <si>
    <t>2500*1200*9,5 обычная</t>
  </si>
  <si>
    <t>2500*1200*9,5 влагостойкая</t>
  </si>
  <si>
    <t>2500*1200*12,5 обычная</t>
  </si>
  <si>
    <t>2500*1200*12,5 влагостойкая</t>
  </si>
  <si>
    <t>лист</t>
  </si>
  <si>
    <t>м.п.</t>
  </si>
  <si>
    <t>шт.</t>
  </si>
  <si>
    <t xml:space="preserve">Наименование продукции "БЕРГАУФ"    </t>
  </si>
  <si>
    <t>Полы</t>
  </si>
  <si>
    <t>Бстротвердеющий наливной пол "Boden Turbo"</t>
  </si>
  <si>
    <t>Грунтовка-концентрат глубокого проникновения "Aqua Grant"</t>
  </si>
  <si>
    <t>Гипсовая штукатурка лёгкая</t>
  </si>
  <si>
    <t>Шпаклёвки</t>
  </si>
  <si>
    <t>Универсальная гипсовая шпаклёвка (белая) для работы с ГКЛ "Fugen Gips" (аналог кнауф)</t>
  </si>
  <si>
    <t>Базовая белая универсальная шпаклёвка для внутренних и наружних работ "Uni Finish" (аналогов нет)</t>
  </si>
  <si>
    <t>Белая гипсовая шпаклёвка для тонкослойного шпаклевания и заделки швов ГКЛ "Slik Gips"</t>
  </si>
  <si>
    <t>Финишная полимерная шпаклёвка для тонкослойного выравнивания стен и потолков в сухих помещениях белого цвета "Finish Plast"</t>
  </si>
  <si>
    <t>Штукатурки</t>
  </si>
  <si>
    <t>Цементная штукатурка для фасада и цоколя "Unter Bau"</t>
  </si>
  <si>
    <t>Штукатурка гипсовая с лёгким наполнителем для выравнивания стен и потолков "Bau Putz Gips"</t>
  </si>
  <si>
    <t>Декоративная штукатурка типа "КОРОЕД" (2,5мм) "Dekor"</t>
  </si>
  <si>
    <t>Декоративная штукатурка типа "ШУБА" "Diadema"</t>
  </si>
  <si>
    <t>Декоративная фасадная штукатурка короед "Dekor Fasad"</t>
  </si>
  <si>
    <t>Штукатурка гипсовая универсальная, не требующая шпаклевания для людей с любым уровнем подготовки "Easy Band" (аналог родбанда)</t>
  </si>
  <si>
    <t>Штукатурка-шпаклёвка для ремонта и выравнивания ячеистых блоков "Bau Block"</t>
  </si>
  <si>
    <t>Усиленный клей для керамической плитки, тёплого пола "Keramik Pro"</t>
  </si>
  <si>
    <t>Базовый клей для керамической плитки "Standart"</t>
  </si>
  <si>
    <t>вх. Москва</t>
  </si>
  <si>
    <t>вх. Орел +0,75р/кг</t>
  </si>
  <si>
    <t>вх. Орел +р/кг</t>
  </si>
  <si>
    <t>64</t>
  </si>
  <si>
    <t>49</t>
  </si>
  <si>
    <t>54</t>
  </si>
  <si>
    <t>56</t>
  </si>
  <si>
    <t>Специальная серия для теплоизоляции вертикальных поверхностей. Плиты обладают особой упругостью, что облегчает монтаж в любых плоскостях. Рекомендована для  теплоизоляции слоистых кладок, каркасных стен, скатной кровли и чердачных перекрытий.</t>
  </si>
  <si>
    <t>Гипсокартон "ГИПСОТОН" Строительная плита для сухой штукатурки стен (лист - 3м2)</t>
  </si>
  <si>
    <t>Гипсокартон "ГИПРОК" Строительная плита (лист - 3-3,6м2)</t>
  </si>
  <si>
    <t>кол. шт/паллет</t>
  </si>
  <si>
    <t>66</t>
  </si>
  <si>
    <t xml:space="preserve">вход цена за шт/м.п. ТРАНЗИТ </t>
  </si>
  <si>
    <t>Лайт 1200*2500*9</t>
  </si>
  <si>
    <t>АкваЛайт 1200*2500*9</t>
  </si>
  <si>
    <t>Оптима 1200*2500*12</t>
  </si>
  <si>
    <t>АкваОптима 1200*2500*12</t>
  </si>
  <si>
    <t>Стронг 1200*2500*15</t>
  </si>
  <si>
    <t>АкваСтронг 1200*2500*15</t>
  </si>
  <si>
    <t>ОптимаЛонг 1200*3000*12,5</t>
  </si>
  <si>
    <t>АкваОптимаЛонг 1200*3000*12,5</t>
  </si>
  <si>
    <t>46</t>
  </si>
  <si>
    <r>
      <t>Плёнки полиэтиленовые технические (рулон - рукав 1,5(3*100)м 300м2) ЭКОНОМ (</t>
    </r>
    <r>
      <rPr>
        <b/>
        <sz val="9"/>
        <rFont val="Palatino Linotype"/>
        <family val="1"/>
        <charset val="204"/>
      </rPr>
      <t>ТУ-2211-145-05766801-2008)</t>
    </r>
  </si>
  <si>
    <t>Пленка полиэтиленовые по ГОСТ 10354-82 (рулон - рукав 1,5(3*100)м 300м2)</t>
  </si>
  <si>
    <t>Вспененный полиэтилен (сопротивление теплопередаче 0,78-1,5см2/Вт)</t>
  </si>
  <si>
    <r>
      <rPr>
        <b/>
        <u/>
        <sz val="10"/>
        <rFont val="Palatino Linotype"/>
        <family val="1"/>
        <charset val="204"/>
      </rPr>
      <t>Ламинированный лавсаном</t>
    </r>
    <r>
      <rPr>
        <b/>
        <sz val="10"/>
        <rFont val="Palatino Linotype"/>
        <family val="1"/>
        <charset val="204"/>
      </rPr>
      <t xml:space="preserve"> (устойчив к износу, разрыву, паронепроницаем, не подвержен коррозии, не проводит электрический ток, защита от влаги и конденсата)</t>
    </r>
  </si>
  <si>
    <r>
      <rPr>
        <b/>
        <u/>
        <sz val="10"/>
        <rFont val="Palatino Linotype"/>
        <family val="1"/>
        <charset val="204"/>
      </rPr>
      <t>Ламинированный фольгой</t>
    </r>
    <r>
      <rPr>
        <b/>
        <sz val="10"/>
        <rFont val="Palatino Linotype"/>
        <family val="1"/>
        <charset val="204"/>
      </rPr>
      <t xml:space="preserve"> (с высокой теплоотражающей способностью чистого алюминия 99,4%)</t>
    </r>
  </si>
  <si>
    <r>
      <rPr>
        <b/>
        <u/>
        <sz val="10"/>
        <rFont val="Palatino Linotype"/>
        <family val="1"/>
        <charset val="204"/>
      </rPr>
      <t>Ламинированный лавсаном с клеевым слоем</t>
    </r>
    <r>
      <rPr>
        <b/>
        <sz val="10"/>
        <rFont val="Palatino Linotype"/>
        <family val="1"/>
        <charset val="204"/>
      </rPr>
      <t xml:space="preserve"> (удобство при монтаже, для всех типов трубопроводов)</t>
    </r>
  </si>
  <si>
    <r>
      <rPr>
        <b/>
        <u/>
        <sz val="10"/>
        <rFont val="Palatino Linotype"/>
        <family val="1"/>
        <charset val="204"/>
      </rPr>
      <t>Ламинированный полированной фольгой, дублированной с обеих сторон</t>
    </r>
    <r>
      <rPr>
        <b/>
        <sz val="10"/>
        <rFont val="Palatino Linotype"/>
        <family val="1"/>
        <charset val="204"/>
      </rPr>
      <t xml:space="preserve"> (применяется для утепления стен помещений, кровли, лоджий)</t>
    </r>
  </si>
  <si>
    <r>
      <rPr>
        <b/>
        <u/>
        <sz val="10"/>
        <rFont val="Palatino Linotype"/>
        <family val="1"/>
        <charset val="204"/>
      </rPr>
      <t>Дублированной с обеих сторон лавсаном</t>
    </r>
    <r>
      <rPr>
        <b/>
        <sz val="10"/>
        <rFont val="Palatino Linotype"/>
        <family val="1"/>
        <charset val="204"/>
      </rPr>
      <t xml:space="preserve"> (отражающая изоляция для внешних и внутренних конструкций зданий</t>
    </r>
  </si>
  <si>
    <t>МАТЫ</t>
  </si>
  <si>
    <r>
      <t>Демпферная лента</t>
    </r>
    <r>
      <rPr>
        <b/>
        <sz val="10"/>
        <rFont val="Palatino Linotype"/>
        <family val="1"/>
        <charset val="204"/>
      </rPr>
      <t xml:space="preserve"> (применяется в качестве компенсатора расширения при заливке мокрой цементной стяжки а также при устройстве тёплого пола, как электрического так и водяного принципа деиствия)</t>
    </r>
  </si>
  <si>
    <t>Наименование продукции 
 (габаритные размеры, мм/м/м2/м3/кг)</t>
  </si>
  <si>
    <t>вход цена за м2 (Елец)</t>
  </si>
  <si>
    <t>плюс на м2</t>
  </si>
  <si>
    <r>
      <t>ВПЭ 1050 (0,001*1,05*50м) ролик - 0,892кг/</t>
    </r>
    <r>
      <rPr>
        <b/>
        <sz val="10"/>
        <color theme="1"/>
        <rFont val="Palatino Linotype"/>
        <family val="1"/>
        <charset val="204"/>
      </rPr>
      <t>52,5м2</t>
    </r>
    <r>
      <rPr>
        <sz val="10"/>
        <color theme="1"/>
        <rFont val="Palatino Linotype"/>
        <family val="1"/>
        <charset val="204"/>
      </rPr>
      <t>/0,17м3</t>
    </r>
  </si>
  <si>
    <r>
      <t>ВПЭ 1050 (0,002*1,05*50м) ролик - 1,785кг/</t>
    </r>
    <r>
      <rPr>
        <b/>
        <sz val="10"/>
        <color theme="1"/>
        <rFont val="Palatino Linotype"/>
        <family val="1"/>
        <charset val="204"/>
      </rPr>
      <t>52,5м2</t>
    </r>
    <r>
      <rPr>
        <sz val="10"/>
        <color theme="1"/>
        <rFont val="Palatino Linotype"/>
        <family val="1"/>
        <charset val="204"/>
      </rPr>
      <t>/0,17м3</t>
    </r>
  </si>
  <si>
    <r>
      <t>ВПЭ 1050 (0,003*1,05*50м) ролик - 2,678кг</t>
    </r>
    <r>
      <rPr>
        <b/>
        <sz val="10"/>
        <color theme="1"/>
        <rFont val="Palatino Linotype"/>
        <family val="1"/>
        <charset val="204"/>
      </rPr>
      <t>/52,5м2</t>
    </r>
    <r>
      <rPr>
        <sz val="10"/>
        <color theme="1"/>
        <rFont val="Palatino Linotype"/>
        <family val="1"/>
        <charset val="204"/>
      </rPr>
      <t>/0,22м3</t>
    </r>
  </si>
  <si>
    <r>
      <t>ВПЭ 1050 (0,004*1,05*50м) ролик - 3,570кг/</t>
    </r>
    <r>
      <rPr>
        <b/>
        <sz val="10"/>
        <color theme="1"/>
        <rFont val="Palatino Linotype"/>
        <family val="1"/>
        <charset val="204"/>
      </rPr>
      <t>52,5м2</t>
    </r>
    <r>
      <rPr>
        <sz val="10"/>
        <color theme="1"/>
        <rFont val="Palatino Linotype"/>
        <family val="1"/>
        <charset val="204"/>
      </rPr>
      <t>/0,23м3</t>
    </r>
  </si>
  <si>
    <r>
      <t>ВПЭ 1050 (0,005*1,05*50м) ролик - 4,463кг/</t>
    </r>
    <r>
      <rPr>
        <b/>
        <sz val="10"/>
        <color theme="1"/>
        <rFont val="Palatino Linotype"/>
        <family val="1"/>
        <charset val="204"/>
      </rPr>
      <t>52,5м2</t>
    </r>
    <r>
      <rPr>
        <sz val="10"/>
        <color theme="1"/>
        <rFont val="Palatino Linotype"/>
        <family val="1"/>
        <charset val="204"/>
      </rPr>
      <t>/0,36м3</t>
    </r>
  </si>
  <si>
    <r>
      <t>ВПЭ 1050 (0,008*1,05*30м) ролик - 4,284кг/</t>
    </r>
    <r>
      <rPr>
        <b/>
        <sz val="10"/>
        <color theme="1"/>
        <rFont val="Palatino Linotype"/>
        <family val="1"/>
        <charset val="204"/>
      </rPr>
      <t>31,5м2</t>
    </r>
    <r>
      <rPr>
        <sz val="10"/>
        <color theme="1"/>
        <rFont val="Palatino Linotype"/>
        <family val="1"/>
        <charset val="204"/>
      </rPr>
      <t>/0,48м3</t>
    </r>
  </si>
  <si>
    <r>
      <t>ВПЭ 1050 (0,010*1,05*30м) ролик - 5,355кг/</t>
    </r>
    <r>
      <rPr>
        <b/>
        <sz val="10"/>
        <color theme="1"/>
        <rFont val="Palatino Linotype"/>
        <family val="1"/>
        <charset val="204"/>
      </rPr>
      <t>31,5м2</t>
    </r>
    <r>
      <rPr>
        <sz val="10"/>
        <color theme="1"/>
        <rFont val="Palatino Linotype"/>
        <family val="1"/>
        <charset val="204"/>
      </rPr>
      <t>/0,54м3</t>
    </r>
  </si>
  <si>
    <r>
      <t>Энергоизол 1 ПП+ВПЭ (0,002*1,2*25м) 1,620/</t>
    </r>
    <r>
      <rPr>
        <b/>
        <sz val="10"/>
        <color theme="1"/>
        <rFont val="Palatino Linotype"/>
        <family val="1"/>
        <charset val="204"/>
      </rPr>
      <t>30</t>
    </r>
    <r>
      <rPr>
        <sz val="10"/>
        <color theme="1"/>
        <rFont val="Palatino Linotype"/>
        <family val="1"/>
        <charset val="204"/>
      </rPr>
      <t>/0,10</t>
    </r>
  </si>
  <si>
    <r>
      <t>Энергоизол 1 ПП+ВПЭ (0,003*1,2*25м) 2,130/</t>
    </r>
    <r>
      <rPr>
        <b/>
        <sz val="10"/>
        <color theme="1"/>
        <rFont val="Palatino Linotype"/>
        <family val="1"/>
        <charset val="204"/>
      </rPr>
      <t>30</t>
    </r>
    <r>
      <rPr>
        <sz val="10"/>
        <color theme="1"/>
        <rFont val="Palatino Linotype"/>
        <family val="1"/>
        <charset val="204"/>
      </rPr>
      <t>/0,14</t>
    </r>
  </si>
  <si>
    <r>
      <t>Энергоизол 1 ПП+ВПЭ (0,004*1,2*25м) 2,640/</t>
    </r>
    <r>
      <rPr>
        <b/>
        <sz val="10"/>
        <color theme="1"/>
        <rFont val="Palatino Linotype"/>
        <family val="1"/>
        <charset val="204"/>
      </rPr>
      <t>30</t>
    </r>
    <r>
      <rPr>
        <sz val="10"/>
        <color theme="1"/>
        <rFont val="Palatino Linotype"/>
        <family val="1"/>
        <charset val="204"/>
      </rPr>
      <t>/0,17</t>
    </r>
  </si>
  <si>
    <r>
      <t>Энергоизол 1 ПП+ВПЭ (0,005*1,2*25м) 3,150/</t>
    </r>
    <r>
      <rPr>
        <b/>
        <sz val="10"/>
        <color theme="1"/>
        <rFont val="Palatino Linotype"/>
        <family val="1"/>
        <charset val="204"/>
      </rPr>
      <t>30</t>
    </r>
    <r>
      <rPr>
        <sz val="10"/>
        <color theme="1"/>
        <rFont val="Palatino Linotype"/>
        <family val="1"/>
        <charset val="204"/>
      </rPr>
      <t>/0,22</t>
    </r>
  </si>
  <si>
    <r>
      <t>Энергоизол 1 ПП+ВПЭ (0,008*1,2*15м) 3,048/</t>
    </r>
    <r>
      <rPr>
        <b/>
        <sz val="10"/>
        <color theme="1"/>
        <rFont val="Palatino Linotype"/>
        <family val="1"/>
        <charset val="204"/>
      </rPr>
      <t>18</t>
    </r>
    <r>
      <rPr>
        <sz val="10"/>
        <color theme="1"/>
        <rFont val="Palatino Linotype"/>
        <family val="1"/>
        <charset val="204"/>
      </rPr>
      <t>/0,24</t>
    </r>
  </si>
  <si>
    <r>
      <t>Энергоизол 1 ПП+ВПЭ (0,010*1,2*15м) 3,660/</t>
    </r>
    <r>
      <rPr>
        <b/>
        <sz val="10"/>
        <color theme="1"/>
        <rFont val="Palatino Linotype"/>
        <family val="1"/>
        <charset val="204"/>
      </rPr>
      <t>18</t>
    </r>
    <r>
      <rPr>
        <sz val="10"/>
        <color theme="1"/>
        <rFont val="Palatino Linotype"/>
        <family val="1"/>
        <charset val="204"/>
      </rPr>
      <t>/0,29</t>
    </r>
  </si>
  <si>
    <r>
      <t>BROflex 1ПП+ВПЭ (0,004/1,2/25) 2,5/</t>
    </r>
    <r>
      <rPr>
        <b/>
        <sz val="10"/>
        <color theme="1"/>
        <rFont val="Palatino Linotype"/>
        <family val="1"/>
        <charset val="204"/>
      </rPr>
      <t>30</t>
    </r>
    <r>
      <rPr>
        <sz val="10"/>
        <color theme="1"/>
        <rFont val="Palatino Linotype"/>
        <family val="1"/>
        <charset val="204"/>
      </rPr>
      <t>/0,17 с разлиновкой под тёплый пол</t>
    </r>
  </si>
  <si>
    <r>
      <t>1ПП+ВПЭ+клей слой (0,003*1,2*25м) 2,000/</t>
    </r>
    <r>
      <rPr>
        <b/>
        <sz val="10"/>
        <color theme="1"/>
        <rFont val="Palatino Linotype"/>
        <family val="1"/>
        <charset val="204"/>
      </rPr>
      <t>30</t>
    </r>
    <r>
      <rPr>
        <sz val="10"/>
        <color theme="1"/>
        <rFont val="Palatino Linotype"/>
        <family val="1"/>
        <charset val="204"/>
      </rPr>
      <t>/0,14</t>
    </r>
  </si>
  <si>
    <r>
      <t>1ПП+ВПЭ+клей слой (0,004*1,2*25м) 2,400/</t>
    </r>
    <r>
      <rPr>
        <b/>
        <sz val="10"/>
        <color theme="1"/>
        <rFont val="Palatino Linotype"/>
        <family val="1"/>
        <charset val="204"/>
      </rPr>
      <t>30</t>
    </r>
    <r>
      <rPr>
        <sz val="10"/>
        <color theme="1"/>
        <rFont val="Palatino Linotype"/>
        <family val="1"/>
        <charset val="204"/>
      </rPr>
      <t>/0,17</t>
    </r>
  </si>
  <si>
    <r>
      <t>1ПП+ВПЭ+клей слой (0,005*1,2*25м) 3,000/</t>
    </r>
    <r>
      <rPr>
        <b/>
        <sz val="10"/>
        <color theme="1"/>
        <rFont val="Palatino Linotype"/>
        <family val="1"/>
        <charset val="204"/>
      </rPr>
      <t>30</t>
    </r>
    <r>
      <rPr>
        <sz val="10"/>
        <color theme="1"/>
        <rFont val="Palatino Linotype"/>
        <family val="1"/>
        <charset val="204"/>
      </rPr>
      <t>/0,17</t>
    </r>
  </si>
  <si>
    <r>
      <t>1ПП+ВПЭ+клей слой (0,008*1,2*15м) 4,200/</t>
    </r>
    <r>
      <rPr>
        <b/>
        <sz val="10"/>
        <color theme="1"/>
        <rFont val="Palatino Linotype"/>
        <family val="1"/>
        <charset val="204"/>
      </rPr>
      <t>18</t>
    </r>
    <r>
      <rPr>
        <sz val="10"/>
        <color theme="1"/>
        <rFont val="Palatino Linotype"/>
        <family val="1"/>
        <charset val="204"/>
      </rPr>
      <t>/0,24</t>
    </r>
  </si>
  <si>
    <r>
      <t>1ПП+ВПЭ+клей слой (0,010*1,2*15м) 4,500/</t>
    </r>
    <r>
      <rPr>
        <b/>
        <sz val="10"/>
        <color theme="1"/>
        <rFont val="Palatino Linotype"/>
        <family val="1"/>
        <charset val="204"/>
      </rPr>
      <t>18</t>
    </r>
    <r>
      <rPr>
        <sz val="10"/>
        <color theme="1"/>
        <rFont val="Palatino Linotype"/>
        <family val="1"/>
        <charset val="204"/>
      </rPr>
      <t>/0,29</t>
    </r>
  </si>
  <si>
    <r>
      <t>Энергоизол 1 АЛ+ВПЭ (0,002*1,2*25м) 1,600/</t>
    </r>
    <r>
      <rPr>
        <b/>
        <sz val="10"/>
        <color theme="1"/>
        <rFont val="Palatino Linotype"/>
        <family val="1"/>
        <charset val="204"/>
      </rPr>
      <t>30</t>
    </r>
    <r>
      <rPr>
        <sz val="10"/>
        <color theme="1"/>
        <rFont val="Palatino Linotype"/>
        <family val="1"/>
        <charset val="204"/>
      </rPr>
      <t>/0,10</t>
    </r>
  </si>
  <si>
    <r>
      <t>Энергоизол 1 АЛ+ВПЭ (0,003*1,2*25м) 2,100/</t>
    </r>
    <r>
      <rPr>
        <b/>
        <sz val="10"/>
        <color theme="1"/>
        <rFont val="Palatino Linotype"/>
        <family val="1"/>
        <charset val="204"/>
      </rPr>
      <t>30</t>
    </r>
    <r>
      <rPr>
        <sz val="10"/>
        <color theme="1"/>
        <rFont val="Palatino Linotype"/>
        <family val="1"/>
        <charset val="204"/>
      </rPr>
      <t>/0,14</t>
    </r>
  </si>
  <si>
    <r>
      <t>Энергоизол 1 АЛ+ВПЭ (0,004*1,2*25м) 2,500/</t>
    </r>
    <r>
      <rPr>
        <b/>
        <sz val="10"/>
        <color theme="1"/>
        <rFont val="Palatino Linotype"/>
        <family val="1"/>
        <charset val="204"/>
      </rPr>
      <t>30</t>
    </r>
    <r>
      <rPr>
        <sz val="10"/>
        <color theme="1"/>
        <rFont val="Palatino Linotype"/>
        <family val="1"/>
        <charset val="204"/>
      </rPr>
      <t>/0,17</t>
    </r>
  </si>
  <si>
    <r>
      <t>Энергоизол 1 АЛ+ВПЭ (0,005*1,2*25м) 3,000/</t>
    </r>
    <r>
      <rPr>
        <b/>
        <sz val="10"/>
        <color theme="1"/>
        <rFont val="Palatino Linotype"/>
        <family val="1"/>
        <charset val="204"/>
      </rPr>
      <t>30</t>
    </r>
    <r>
      <rPr>
        <sz val="10"/>
        <color theme="1"/>
        <rFont val="Palatino Linotype"/>
        <family val="1"/>
        <charset val="204"/>
      </rPr>
      <t>/0,17</t>
    </r>
  </si>
  <si>
    <r>
      <t>Энергоизол 1 АЛ+ВПЭ (0,008*1,2*15м) 3,000/</t>
    </r>
    <r>
      <rPr>
        <b/>
        <sz val="10"/>
        <color theme="1"/>
        <rFont val="Palatino Linotype"/>
        <family val="1"/>
        <charset val="204"/>
      </rPr>
      <t>18</t>
    </r>
    <r>
      <rPr>
        <sz val="10"/>
        <color theme="1"/>
        <rFont val="Palatino Linotype"/>
        <family val="1"/>
        <charset val="204"/>
      </rPr>
      <t>/0,24</t>
    </r>
  </si>
  <si>
    <r>
      <t>Энергоизол 1 АЛ+ВПЭ (0,010*1,2*15м) 3,500/</t>
    </r>
    <r>
      <rPr>
        <b/>
        <sz val="10"/>
        <color theme="1"/>
        <rFont val="Palatino Linotype"/>
        <family val="1"/>
        <charset val="204"/>
      </rPr>
      <t>18</t>
    </r>
    <r>
      <rPr>
        <sz val="10"/>
        <color theme="1"/>
        <rFont val="Palatino Linotype"/>
        <family val="1"/>
        <charset val="204"/>
      </rPr>
      <t>/0,29</t>
    </r>
  </si>
  <si>
    <r>
      <t>Энергоизол 2 АЛ+ВПЭ (0,002*1,2*25м) 1,600/</t>
    </r>
    <r>
      <rPr>
        <b/>
        <sz val="10"/>
        <color theme="1"/>
        <rFont val="Palatino Linotype"/>
        <family val="1"/>
        <charset val="204"/>
      </rPr>
      <t>30</t>
    </r>
    <r>
      <rPr>
        <sz val="10"/>
        <color theme="1"/>
        <rFont val="Palatino Linotype"/>
        <family val="1"/>
        <charset val="204"/>
      </rPr>
      <t>/0,10</t>
    </r>
  </si>
  <si>
    <r>
      <t>Энергоизол 2 АЛ+ВПЭ (0,003*1,2*25м) 2,100/</t>
    </r>
    <r>
      <rPr>
        <b/>
        <sz val="10"/>
        <color theme="1"/>
        <rFont val="Palatino Linotype"/>
        <family val="1"/>
        <charset val="204"/>
      </rPr>
      <t>30</t>
    </r>
    <r>
      <rPr>
        <sz val="10"/>
        <color theme="1"/>
        <rFont val="Palatino Linotype"/>
        <family val="1"/>
        <charset val="204"/>
      </rPr>
      <t>/0,14</t>
    </r>
  </si>
  <si>
    <r>
      <t>Энергоизол 2 АЛ+ВПЭ (0,004*1,2*25м) 2,500/</t>
    </r>
    <r>
      <rPr>
        <b/>
        <sz val="10"/>
        <color theme="1"/>
        <rFont val="Palatino Linotype"/>
        <family val="1"/>
        <charset val="204"/>
      </rPr>
      <t>30</t>
    </r>
    <r>
      <rPr>
        <sz val="10"/>
        <color theme="1"/>
        <rFont val="Palatino Linotype"/>
        <family val="1"/>
        <charset val="204"/>
      </rPr>
      <t>/0,17</t>
    </r>
  </si>
  <si>
    <r>
      <t>Энергоизол 2 АЛ+ВПЭ (0,005*1,2*25м) 3,000/</t>
    </r>
    <r>
      <rPr>
        <b/>
        <sz val="10"/>
        <color theme="1"/>
        <rFont val="Palatino Linotype"/>
        <family val="1"/>
        <charset val="204"/>
      </rPr>
      <t>30</t>
    </r>
    <r>
      <rPr>
        <sz val="10"/>
        <color theme="1"/>
        <rFont val="Palatino Linotype"/>
        <family val="1"/>
        <charset val="204"/>
      </rPr>
      <t>/0,17</t>
    </r>
  </si>
  <si>
    <r>
      <t>Энергоизол 2 АЛ+ВПЭ (0,008*1,2*15м) 3,000/</t>
    </r>
    <r>
      <rPr>
        <b/>
        <sz val="10"/>
        <color theme="1"/>
        <rFont val="Palatino Linotype"/>
        <family val="1"/>
        <charset val="204"/>
      </rPr>
      <t>18</t>
    </r>
    <r>
      <rPr>
        <sz val="10"/>
        <color theme="1"/>
        <rFont val="Palatino Linotype"/>
        <family val="1"/>
        <charset val="204"/>
      </rPr>
      <t>/0,24</t>
    </r>
  </si>
  <si>
    <r>
      <t>Энергоизол 2 АЛ+ВПЭ (0,010*1,2*15м) 3,500/</t>
    </r>
    <r>
      <rPr>
        <b/>
        <sz val="10"/>
        <color theme="1"/>
        <rFont val="Palatino Linotype"/>
        <family val="1"/>
        <charset val="204"/>
      </rPr>
      <t>18</t>
    </r>
    <r>
      <rPr>
        <sz val="10"/>
        <color theme="1"/>
        <rFont val="Palatino Linotype"/>
        <family val="1"/>
        <charset val="204"/>
      </rPr>
      <t>/0,29</t>
    </r>
  </si>
  <si>
    <r>
      <t>Энергоизол 2ПП+ВПЭ (0,002*1,2*25м) 1,600/</t>
    </r>
    <r>
      <rPr>
        <b/>
        <sz val="10"/>
        <color theme="1"/>
        <rFont val="Palatino Linotype"/>
        <family val="1"/>
        <charset val="204"/>
      </rPr>
      <t>30</t>
    </r>
    <r>
      <rPr>
        <sz val="10"/>
        <color theme="1"/>
        <rFont val="Palatino Linotype"/>
        <family val="1"/>
        <charset val="204"/>
      </rPr>
      <t>/0,10</t>
    </r>
  </si>
  <si>
    <r>
      <t>Энергоизол 2ПП+ВПЭ (0,003*1,2*25м) 2,100/</t>
    </r>
    <r>
      <rPr>
        <b/>
        <sz val="10"/>
        <color theme="1"/>
        <rFont val="Palatino Linotype"/>
        <family val="1"/>
        <charset val="204"/>
      </rPr>
      <t>30</t>
    </r>
    <r>
      <rPr>
        <sz val="10"/>
        <color theme="1"/>
        <rFont val="Palatino Linotype"/>
        <family val="1"/>
        <charset val="204"/>
      </rPr>
      <t>/0,14</t>
    </r>
  </si>
  <si>
    <r>
      <t>Энергоизол 2ПП+ВПЭ (0,004*1,2*25м) 2,500/</t>
    </r>
    <r>
      <rPr>
        <b/>
        <sz val="10"/>
        <color theme="1"/>
        <rFont val="Palatino Linotype"/>
        <family val="1"/>
        <charset val="204"/>
      </rPr>
      <t>30</t>
    </r>
    <r>
      <rPr>
        <sz val="10"/>
        <color theme="1"/>
        <rFont val="Palatino Linotype"/>
        <family val="1"/>
        <charset val="204"/>
      </rPr>
      <t>/0,17</t>
    </r>
  </si>
  <si>
    <r>
      <t>Энергоизол 2ПП+ВПЭ (0,005*1,2*25м) 3,000/</t>
    </r>
    <r>
      <rPr>
        <b/>
        <sz val="10"/>
        <color theme="1"/>
        <rFont val="Palatino Linotype"/>
        <family val="1"/>
        <charset val="204"/>
      </rPr>
      <t>30</t>
    </r>
    <r>
      <rPr>
        <sz val="10"/>
        <color theme="1"/>
        <rFont val="Palatino Linotype"/>
        <family val="1"/>
        <charset val="204"/>
      </rPr>
      <t>/0,17</t>
    </r>
  </si>
  <si>
    <r>
      <t>Энергоизол 2ПП+ВПЭ (0,008*1,2*15м) 3,000/</t>
    </r>
    <r>
      <rPr>
        <b/>
        <sz val="10"/>
        <color theme="1"/>
        <rFont val="Palatino Linotype"/>
        <family val="1"/>
        <charset val="204"/>
      </rPr>
      <t>18</t>
    </r>
    <r>
      <rPr>
        <sz val="10"/>
        <color theme="1"/>
        <rFont val="Palatino Linotype"/>
        <family val="1"/>
        <charset val="204"/>
      </rPr>
      <t>/0,24</t>
    </r>
  </si>
  <si>
    <r>
      <t>Энергоизол 2ПП+ВПЭ (0,010*1,2*15м) 3,500/</t>
    </r>
    <r>
      <rPr>
        <b/>
        <sz val="10"/>
        <color theme="1"/>
        <rFont val="Palatino Linotype"/>
        <family val="1"/>
        <charset val="204"/>
      </rPr>
      <t>18</t>
    </r>
    <r>
      <rPr>
        <sz val="10"/>
        <color theme="1"/>
        <rFont val="Palatino Linotype"/>
        <family val="1"/>
        <charset val="204"/>
      </rPr>
      <t>/0,29</t>
    </r>
  </si>
  <si>
    <t xml:space="preserve">Маты 15 (0,015*1*10м) </t>
  </si>
  <si>
    <t xml:space="preserve">Маты 20 (0,020*1*10м) </t>
  </si>
  <si>
    <t xml:space="preserve">Маты 30 (0,030*1*10м) </t>
  </si>
  <si>
    <t xml:space="preserve">Маты 40 (0,040*1*5м) </t>
  </si>
  <si>
    <t xml:space="preserve">Маты 50 (0,050*1*5м) </t>
  </si>
  <si>
    <t xml:space="preserve">Маты 60 (0,060*1*3м) </t>
  </si>
  <si>
    <t xml:space="preserve">ДФЛ 8*2000*100 (0,008*0,1*20м) </t>
  </si>
  <si>
    <t xml:space="preserve">ДФЛ 8*2500*100 (0,008*0,1*25м) </t>
  </si>
  <si>
    <t xml:space="preserve">ДФЛ 10*2000*100 (0,010*0,1*20м) </t>
  </si>
  <si>
    <t>Ед.изм. шт/м.п.</t>
  </si>
  <si>
    <t>Кронштейны стеновые КС</t>
  </si>
  <si>
    <t>Кронштейны стеновые с прижимом</t>
  </si>
  <si>
    <t>70*50*50*1,2 Пр</t>
  </si>
  <si>
    <t>100*50*50*1,2 Пр</t>
  </si>
  <si>
    <t>120*50*50*1,2 Пр</t>
  </si>
  <si>
    <t>150*50*50*1,2 Пр</t>
  </si>
  <si>
    <t>35*35*1,1</t>
  </si>
  <si>
    <t>30*40*1,1</t>
  </si>
  <si>
    <t>40*40*1,1</t>
  </si>
  <si>
    <t>60*40*1,1</t>
  </si>
  <si>
    <t>20*20*50*20*20*1,1</t>
  </si>
  <si>
    <t>20*20*60*20*20*1,1</t>
  </si>
  <si>
    <t>Дюбели фасадные оцинкованные (анкеры)</t>
  </si>
  <si>
    <t>10*60 с борт.</t>
  </si>
  <si>
    <t>10*60 с борт.гор.</t>
  </si>
  <si>
    <t>10*80 с борт.</t>
  </si>
  <si>
    <t>10*80 с борт.гор.</t>
  </si>
  <si>
    <t>10*100 с борт.</t>
  </si>
  <si>
    <t>10*100 с борт.гор.</t>
  </si>
  <si>
    <t>10*120 с борт.</t>
  </si>
  <si>
    <t>10*120 с борт.гор.</t>
  </si>
  <si>
    <t>10*140 с борт.</t>
  </si>
  <si>
    <t>10*140 с борт.гор.</t>
  </si>
  <si>
    <t>10*160 с борт.</t>
  </si>
  <si>
    <t>10*160 с борт.гор.</t>
  </si>
  <si>
    <t>Рондоль</t>
  </si>
  <si>
    <t>РУБЕРОИД (Традиционные кровельные материалы на основе картона)</t>
  </si>
  <si>
    <t>РУБЕМАСТ (Наплавляемые кровельные и гидроизоляционные материалы на основе картона)</t>
  </si>
  <si>
    <t>Рулон/м2</t>
  </si>
  <si>
    <t>Цена с НДС рулон</t>
  </si>
  <si>
    <t>Рулон/кг</t>
  </si>
  <si>
    <t>Цена с НДС  (самовывоз)</t>
  </si>
  <si>
    <r>
      <t xml:space="preserve">Пергамин </t>
    </r>
    <r>
      <rPr>
        <b/>
        <sz val="10"/>
        <color theme="1"/>
        <rFont val="Palatino Linotype"/>
        <family val="1"/>
        <charset val="204"/>
      </rPr>
      <t>П-300</t>
    </r>
  </si>
  <si>
    <t>РНП-350</t>
  </si>
  <si>
    <t>РНК-400</t>
  </si>
  <si>
    <t>7,5</t>
  </si>
  <si>
    <t>РПП-300 (ГОСТ)</t>
  </si>
  <si>
    <t>РПП-300 (С)</t>
  </si>
  <si>
    <t>РПП-300 (2С)</t>
  </si>
  <si>
    <t>РПП-300 (СМ)</t>
  </si>
  <si>
    <t>РКП-350 (ГОСТ)</t>
  </si>
  <si>
    <t>РКП-350 (ТУ)</t>
  </si>
  <si>
    <t>РКП-350 (ОМ)</t>
  </si>
  <si>
    <t>РКК-350</t>
  </si>
  <si>
    <t>РКК-350 (ТУ)</t>
  </si>
  <si>
    <t>22</t>
  </si>
  <si>
    <t>17</t>
  </si>
  <si>
    <t>16</t>
  </si>
  <si>
    <t>24</t>
  </si>
  <si>
    <t>21</t>
  </si>
  <si>
    <t>27</t>
  </si>
  <si>
    <t>вх. Орел +10%</t>
  </si>
  <si>
    <t>вх. Орел +250р</t>
  </si>
  <si>
    <r>
      <t xml:space="preserve">Хотрок ЭКО </t>
    </r>
    <r>
      <rPr>
        <sz val="10"/>
        <rFont val="Palatino Linotype"/>
        <family val="1"/>
        <charset val="204"/>
      </rPr>
      <t>Пл.27кг/м3
λ-0,37 Вт/м*К</t>
    </r>
  </si>
  <si>
    <t>Идеально подходит для скатной кровли,  межкомнатных перекрытий,  каркасных стен и перегородок.</t>
  </si>
  <si>
    <t>НOTROCK</t>
  </si>
  <si>
    <t>Защитит от холода, ветра, влаги, огня и грызунов. Предохранит от промерзания.</t>
  </si>
  <si>
    <t>Самый натуральный утеплитель, произведенный промышленным способом.</t>
  </si>
  <si>
    <t>Легко режется, легко монтируется, не требует специализированного инструмента.</t>
  </si>
  <si>
    <t>Не боится ни огня, ни времени. Сохраняет форму, не теряя характеристик теплопроводности.</t>
  </si>
  <si>
    <t>Не горит, не пылит, не содержит вредных веществ.</t>
  </si>
  <si>
    <t>Сохраняет комфортную атмосферу. Предохраняет от лишних трат на отопление и охлаждение.</t>
  </si>
  <si>
    <t>Минераловатные плиты на основе базальта</t>
  </si>
  <si>
    <t>▪</t>
  </si>
  <si>
    <t>ISOROCK</t>
  </si>
  <si>
    <t>Оцинкованная сталь служит неограниченно долго вне зависимости от атмосферной влажности. Из всех негативных воздействий стальной профиль боится только коррозии, от которой его надежно защищает слой цинкового покрытия</t>
  </si>
  <si>
    <t>Геометрия и размеры элементов стального каркаса неизменны, в то время как брусок будет удлиняться и коробиться при каждом сезонном увеличении влажности. Изменение формы каркаса предсказуемо приведет к появлению трещин между листами обшивки или даже прямо по ним.</t>
  </si>
  <si>
    <t>Три аргумента в пользу профилей:</t>
  </si>
  <si>
    <t>ПРОФИЛИ ГКЛ</t>
  </si>
  <si>
    <t>Оцинковка не боится атак насекомых, которые за какие-то 10-15 лет вполне способны уничтожить или привести в негодность деревянный каркас</t>
  </si>
  <si>
    <t>ПРОФИЛИ НВФ</t>
  </si>
  <si>
    <t>ИЗО/ИЗМ</t>
  </si>
  <si>
    <t>Пленки Вспененый полиэтилен</t>
  </si>
  <si>
    <t>ГКЛ/OSB</t>
  </si>
  <si>
    <t>Рубероид</t>
  </si>
  <si>
    <t>ПСБ/XPS</t>
  </si>
  <si>
    <t>Несущий каркас вентилируемого фасада (т.н. подконструкция) может быть выполнен по различным инженерным схемам из разных материалов. Например, из стали или алюминиевого профиля</t>
  </si>
  <si>
    <t>Строительство: использование при монтаже фундамента зданий, возведении кровли, отделке фасадов и устройстве водоотводов; в дорожном строительстве техническая пленка широко применяется для разделения слоев покрытия;</t>
  </si>
  <si>
    <t>Ремонтные работы: при изготовлении заливных полов, в качестве защиты поверхностей любого типа во время малярных и штукатурных работ;</t>
  </si>
  <si>
    <t>Сельское и личное подсобное хозяйство: устройство компостных ям, мест хранения сена, а также укрытие посадок с целью защиты от ветра и других неблагоприятных внешних факторов;</t>
  </si>
  <si>
    <t>Производство и торговля: применение в качестве упаковочного материала для непищевых товаров во время их хранения или перевозки.</t>
  </si>
  <si>
    <t>Техническая полиэтиленовая пленка также широко применяется для ветрозащиты и гидроизоляции транспортных средств и любых других механизмов.</t>
  </si>
  <si>
    <t>Он применяется для различных отделочных работ, таких как отделка стен и потолка, отделка арок и других изысканных конфигураций, стеновые перегородки. С ним работать очень легко, тут справится даже начинающий. Листы крепятся на металлическую или деревянную обрешетку саморезами или шурупами. Он легко режется обычным канцелярским ножом.  Гипсокартон имеет много положительных плюсов. Самый главный из них – это то, что он является экологически чистым продуктом. Его основной компонент – гипс – природный материал, который не выделяет никаких токсичных элементов. Сам гипсокартон способен регулировать состояние окружающего воздуха. Если в помещении не хватает влажности, он ее выделит, если наоборот, то впитает излишки. Сохраняет тепло и изолирует лишний шум.</t>
  </si>
  <si>
    <t>обшивка стен каркасных домов;</t>
  </si>
  <si>
    <t>СИП-панели;</t>
  </si>
  <si>
    <t>основание под кровельную битумную черепицу;</t>
  </si>
  <si>
    <t>подшивка потолков, основа для монтажа напольных покрытий;</t>
  </si>
  <si>
    <t>обшивка деревянных лестниц;</t>
  </si>
  <si>
    <t>опалубочные щитовые конструкции;</t>
  </si>
  <si>
    <t>стеллажи и стенды;</t>
  </si>
  <si>
    <t>ограждения строительных площадок.</t>
  </si>
  <si>
    <t>Рубероид чаще всего применяется при гидроизоляции кровли. Может быть как частью кровельного настила, так и полноценным покрытием крыши. Также он популярен при обустройстве фундаментов и помещений подвалов. Рынок современных строительных материалов предлагает несколько видов рубероида.</t>
  </si>
  <si>
    <t>Пенопласт, который может входить в состав сэндвич-панели, обладает высокими теплоизоляционными свойствами, которые значительно превышают параметры наиболее распространенных строительных утеплителей и материалов. Изделие отличается:</t>
  </si>
  <si>
    <t>Заниженной удельной теплопроводностью;</t>
  </si>
  <si>
    <t>Низким термическим расширением;</t>
  </si>
  <si>
    <t>Высокой структурной стабильностью в допустимом температурном диапазоне;</t>
  </si>
  <si>
    <t>Хорошей прочностью на сжатие при низких показателях плотности.</t>
  </si>
  <si>
    <t>Технониколь XPS — экструзионный пенополистирол, теплоизоляционный стройматериал с равно- распределенной ячеисто- замкнутой структурой. Уникальная формула теплоизолятора, наделила продукт Технониколь XPS способностями противостоять процессу впитывания воды, материал не набухает, полностью отсутствует усадка. Экструзионный пенополистирол марки XPS не гниет, устойчиво переносит химические раздражители, не пылит и не поддерживает процесс горения.</t>
  </si>
  <si>
    <t>Выравнивающие – предназначены  для выравнивания поверхностей (потолков, стен, полов и т.д.) и заделывания дефектов (трещины, раковины, сколы и т.п.). Обычно это шпаклевка и штукатурка, например, фирмы Ротбанд кнауф. Штукатурка на гипсовой основе может быть использоваться  при наружных и внутренних работах. Эту смесь в подготовленном состоянии можно наносить на кирпич или бетон. Преимущества перед другими аналогичными материалами: быстрое высыхание, экологичность, пластичность, поверхность можно не шпаклевать, а сразу красить или оклеивать обоями. Цементная или цементно-известковая штукатурка подходит для работы с газобетоном, керамическими блоками, кирпичом, бетоном и т.п. Цементная или клеевая штукатурка предназначена для работы с бетонными основаниями, кирпичом, газобетоном.</t>
  </si>
  <si>
    <t>Клеящие сухие составы - к ним можно отнести плиточный и  монтажный клей, например, Перфликс, Флизин и т.п.  Используются для приклеивания отделочных, крепежных и облицовочных материалов. При монтажных работах, например, для крепления конструкций или анкеров</t>
  </si>
  <si>
    <t>Напольные предназначены для устройства и выравнивания поверхности полов: стяжка, наливной пол, используемый при создании идеально ровной поверхности для чистового покрытия напольными материалами. Преимущества последнего материала экологически безопасен, долговечен, не горюч, отсутствует усадка, быстрое время затвердевания.</t>
  </si>
  <si>
    <t>Ремонтные составы выполняют восстановительную роль при ремонте конструкций из бетона, камня, железобетона и т.д</t>
  </si>
  <si>
    <t>Защитные (санитарные) предназначены для защиты поверхностей от появления грибка, плесени и других вредных микроорганизмов появляющихся при повышенной сырости.</t>
  </si>
  <si>
    <t>Кладочные смеси используются при кладке кирпича, устройстве перегородок и т.п</t>
  </si>
  <si>
    <t>Декоративные штукатурки применяются при создании разноцветных декоративных поверхностей с рельефами, и различными текстурами</t>
  </si>
  <si>
    <t>Гидроизоляционные составы используются при проведении гидроизоляционных работ. Например, при создании защиты от влаги внешних и внутренних поверхностей здания, устройства бассейнов и т.п.</t>
  </si>
  <si>
    <t>Тепло- и звукоизолирующие сухие смеси используются при создании теплоизоляционного барьера. Это новая линейка материалов способных удерживать тепло и шумы без применения сложных технологий (устройство пирога, штукатурка, укладка сетки и т.п.). Российский производитель IVSIL TERMOSIL, TERMOLIT.</t>
  </si>
  <si>
    <t>Грунтовочные составы используются для создания тонкой пленки, грунтовка повышает сцепление отделочных материалов с обрабатываемой поверхностью (адгезия).</t>
  </si>
  <si>
    <t>Дюбель для теплоизоляции – это метиз характерной формы, использующийся при утеплении фасадов и предназначенный для фиксации минеральной ваты, пенополистирола и других материалов. Все виды таких метизов имеют широкую плоскую головку, благодаря чему появилось еще одно название – дюбель тарельчатый. Она предотвращает проваливание крепежа в рыхлый и пористый теплоизоляционный материал и способствует плотному прижиму плит или рулонного теплоизолятора. Дюбель гриб для теплоизоляции имеет на своей шляпке насечку, благодаря чему, поверх легко наносить штукатурку, и что препятствует преждевременному ее осыпанию. Некоторые виды метизов позволяют устанавливать поверх теплоизоляции и более тяжелые виды облицовки. Выбрав подходящую (в соответствии с толщиной материала) длину крепежа, можно обеспечить удобство работы и надежность фиксации.</t>
  </si>
  <si>
    <t>Еврорубероид Уже само название указывает на то, что этот вид является наиболее современным и практичным видом рубероида. Представляет собой усовершенствованную модификацию, изготовленную на базе стекловолокна либо синтетического полиэстера. Внешний покров состоит из полимерно-битумных мембран, может иметь разную плотность и толщину. Как и рубемаст, при монтаже требует плавления нижнего слоя. Срок службы такого покрытия может превышать 30 лет.</t>
  </si>
  <si>
    <t>ЦЕНТР-ТИМ</t>
  </si>
  <si>
    <t>ссылки на ассортимент и цены: по вкладкам</t>
  </si>
  <si>
    <t xml:space="preserve">Наименование продукции "ФОРБО ЕВРОКОЛ"    </t>
  </si>
  <si>
    <t>Плиточный клей</t>
  </si>
  <si>
    <r>
      <rPr>
        <b/>
        <sz val="10"/>
        <color theme="1"/>
        <rFont val="Palatino Linotype"/>
        <family val="1"/>
        <charset val="204"/>
      </rPr>
      <t>752</t>
    </r>
    <r>
      <rPr>
        <sz val="10"/>
        <color theme="1"/>
        <rFont val="Palatino Linotype"/>
        <family val="1"/>
        <charset val="204"/>
      </rPr>
      <t xml:space="preserve"> eurocol Клей 2 в 1 с выравнивающей способностью для тяжелой керамической плитки, керамогранита, натурального камня. Высокая сила приклеивания, устойчивый к сползанию, выравнивает перепады до 20 мм подходит для применения в системе «теплый пол», для внутренних и наружных работ. С2 (6 мм) ~ 3 кг/м²,С5 (10 мм) ~ 4 кг/м² Стандарт С1T  </t>
    </r>
  </si>
  <si>
    <r>
      <rPr>
        <b/>
        <sz val="10"/>
        <color theme="1"/>
        <rFont val="Palatino Linotype"/>
        <family val="1"/>
        <charset val="204"/>
      </rPr>
      <t xml:space="preserve">732 </t>
    </r>
    <r>
      <rPr>
        <sz val="10"/>
        <color theme="1"/>
        <rFont val="Palatino Linotype"/>
        <family val="1"/>
        <charset val="204"/>
      </rPr>
      <t>eurocol Клей для керамической плитки и керамогранита на пол. Адгезия: 0,7 МПа. Морозостойкий. Расход - 2 кг/м² (С1 - 4 мм)  ( Аналог - Юнис 2000)</t>
    </r>
  </si>
  <si>
    <r>
      <rPr>
        <b/>
        <sz val="10"/>
        <color theme="1"/>
        <rFont val="Palatino Linotype"/>
        <family val="1"/>
        <charset val="204"/>
      </rPr>
      <t>756</t>
    </r>
    <r>
      <rPr>
        <sz val="10"/>
        <color theme="1"/>
        <rFont val="Palatino Linotype"/>
        <family val="1"/>
        <charset val="204"/>
      </rPr>
      <t xml:space="preserve"> eurocol Клей для тяжелой керамической плитки, керамогранита, натурального камня. Морозостойкий. Пригоден для системы "Теплый пол".  Адгезия: 1 МПа. Расход - 2 кг/м² (С1 - 4 мм)  (Аналог - Юнис +)</t>
    </r>
  </si>
  <si>
    <r>
      <rPr>
        <b/>
        <sz val="10"/>
        <color theme="1"/>
        <rFont val="Palatino Linotype"/>
        <family val="1"/>
        <charset val="204"/>
      </rPr>
      <t>778</t>
    </r>
    <r>
      <rPr>
        <sz val="10"/>
        <color theme="1"/>
        <rFont val="Palatino Linotype"/>
        <family val="1"/>
        <charset val="204"/>
      </rPr>
      <t xml:space="preserve"> eurocol Усиленный Клей для  всех типов плитки, керамогранита и натурального камня. Стандарт по EN - C2T, Морозостойкий. Пригоден для системы "Теплый пол".  Адгезия: 1,3 МПа. Расход - 2 кг/м² (С1 - 4 мм) (Аналог - Юнис ГРАНИТ)</t>
    </r>
  </si>
  <si>
    <t>Материалы для стен</t>
  </si>
  <si>
    <r>
      <rPr>
        <b/>
        <sz val="10"/>
        <color theme="1"/>
        <rFont val="Palatino Linotype"/>
        <family val="1"/>
        <charset val="204"/>
      </rPr>
      <t>755</t>
    </r>
    <r>
      <rPr>
        <sz val="10"/>
        <color theme="1"/>
        <rFont val="Palatino Linotype"/>
        <family val="1"/>
        <charset val="204"/>
      </rPr>
      <t xml:space="preserve"> eurocol Клей для блоков.  Пригоден для пенобетона, газобетона, газосиликата, силикатных блоков. Внутри и снаружи помещений. Слой 2-5 мм, низкий расход,теплоизоляционные свойства ( 0,28 Вт/м*С).</t>
    </r>
  </si>
  <si>
    <r>
      <rPr>
        <b/>
        <sz val="10"/>
        <color theme="1"/>
        <rFont val="Palatino Linotype"/>
        <family val="1"/>
        <charset val="204"/>
      </rPr>
      <t>958</t>
    </r>
    <r>
      <rPr>
        <sz val="10"/>
        <color theme="1"/>
        <rFont val="Palatino Linotype"/>
        <family val="1"/>
        <charset val="204"/>
      </rPr>
      <t xml:space="preserve"> eurocol Цементная штукатурка, слой до 5 см. Эластичная, паронипроницаемая, морозостойкая, атмосферостойкая, для внутренних и наружных работ. Аналог: Knauf untrputz.</t>
    </r>
  </si>
  <si>
    <t>Система утепления фасадов</t>
  </si>
  <si>
    <r>
      <rPr>
        <b/>
        <sz val="10"/>
        <color theme="1"/>
        <rFont val="Palatino Linotype"/>
        <family val="1"/>
        <charset val="204"/>
      </rPr>
      <t>735</t>
    </r>
    <r>
      <rPr>
        <sz val="10"/>
        <color theme="1"/>
        <rFont val="Palatino Linotype"/>
        <family val="1"/>
        <charset val="204"/>
      </rPr>
      <t xml:space="preserve"> eurocol Клеевая смесь  для систем наружней теплоизоляции. Подходит для приклеивания пенополистирола, минеральной ваты и на все минеральные основания. Морозостойкая, паропроницаемая, обладает высокой адгезией к основанию и утеплителю.</t>
    </r>
  </si>
  <si>
    <r>
      <rPr>
        <b/>
        <sz val="10"/>
        <color theme="1"/>
        <rFont val="Palatino Linotype"/>
        <family val="1"/>
        <charset val="204"/>
      </rPr>
      <t>737</t>
    </r>
    <r>
      <rPr>
        <sz val="10"/>
        <color theme="1"/>
        <rFont val="Palatino Linotype"/>
        <family val="1"/>
        <charset val="204"/>
      </rPr>
      <t xml:space="preserve"> eurocol Универсальный штукатурно-клеевой состав  для систем наружной теплоизоляции: для приклеивания и оштукатуривания всех утеплительных материалов на миренальные основания. А так же создает защитный армирующий слой. Паронипроницаемый, морозостойкий, эластичный, для наружных и внутренних работ. </t>
    </r>
  </si>
  <si>
    <t>Наливной пол</t>
  </si>
  <si>
    <r>
      <rPr>
        <b/>
        <sz val="10"/>
        <color theme="1"/>
        <rFont val="Palatino Linotype"/>
        <family val="1"/>
        <charset val="204"/>
      </rPr>
      <t>914</t>
    </r>
    <r>
      <rPr>
        <sz val="10"/>
        <color theme="1"/>
        <rFont val="Palatino Linotype"/>
        <family val="1"/>
        <charset val="204"/>
      </rPr>
      <t xml:space="preserve"> eurocol Наливной пол от 3 до 50 мм. 15 мПа, Пригоден для применения на слабых основаниях с низкой поверхностной прочностью и на старых расслаивающихся основаниях. Гипсовый. Безусадочный. </t>
    </r>
  </si>
  <si>
    <r>
      <rPr>
        <b/>
        <sz val="10"/>
        <color theme="1"/>
        <rFont val="Palatino Linotype"/>
        <family val="1"/>
        <charset val="204"/>
      </rPr>
      <t>915</t>
    </r>
    <r>
      <rPr>
        <sz val="10"/>
        <color theme="1"/>
        <rFont val="Palatino Linotype"/>
        <family val="1"/>
        <charset val="204"/>
      </rPr>
      <t xml:space="preserve"> eurocol Наливной пол, слой от 5 до 50 мм. 30 мПа,  Для создания высокопрочных оснований и финишного выравнивания поверхностей слоем 5-50мм, подготовки оснований перед настилом различных  напольных покрытий в общественных и жилых зданиях, в т.ч. во влажных помещениях. </t>
    </r>
  </si>
  <si>
    <t>вход цена за мешок</t>
  </si>
  <si>
    <t>вход на складе за кг</t>
  </si>
  <si>
    <t>транзит</t>
  </si>
  <si>
    <t>Гипсокартон "ДАНОГИПС" Строительная плита (лист - 3-3,6м2)</t>
  </si>
  <si>
    <t>ГКЛ 2500*1200*9,5</t>
  </si>
  <si>
    <t>ГКЛ 2500*1200*12,5</t>
  </si>
  <si>
    <t>ГКЛВ 2500*1200*9,5</t>
  </si>
  <si>
    <t>ГКЛВ 2500*1200*12,5</t>
  </si>
  <si>
    <t>ГКЛВ 3000*1200*12,5</t>
  </si>
  <si>
    <t>Гипсокартон "ВОЛМА" Строительная плита (лист - 3м2)</t>
  </si>
  <si>
    <t>Стандарт 2500*1200*9,5</t>
  </si>
  <si>
    <t>Стандарт 2500*1200*12,5</t>
  </si>
  <si>
    <t>Влагостойкая 2500*1200*9,5</t>
  </si>
  <si>
    <t>Влагостойкая 2500*1200*12,5</t>
  </si>
  <si>
    <t>Смеси/грунтовки</t>
  </si>
  <si>
    <t>СТЕКЛОИЗОЛ (битумно-кровельный материал, обладающий отличными гидроизоляционными свойствами)</t>
  </si>
  <si>
    <t>вход цена за рулон</t>
  </si>
  <si>
    <t>Наименование продукции/основа/покрытие</t>
  </si>
  <si>
    <t>П-2,0 стеклохолст/плёнка</t>
  </si>
  <si>
    <t>П-2,5 стеклохолст/плёнка</t>
  </si>
  <si>
    <t>К-3,5 стеклохолст/крошка серая</t>
  </si>
  <si>
    <t>П-2,0 стеклоткань/плёнка</t>
  </si>
  <si>
    <t>П-2,5 стеклоткань/плёнка</t>
  </si>
  <si>
    <t>К-3,5 стеклоткань/крошка серая</t>
  </si>
  <si>
    <t>П-3,0 стеклохолст/плёнка</t>
  </si>
  <si>
    <t>К-4,0 стеклохолст/крошка серая</t>
  </si>
  <si>
    <t>П-3,0 стеклоткань/плёнка</t>
  </si>
  <si>
    <t>П-3,0 полиэстер/плёнка</t>
  </si>
  <si>
    <t>К-4,0 карк. Стеклоткань/крошка серая</t>
  </si>
  <si>
    <t>К-4,0 (эконом) стеклоткань/крошка серая</t>
  </si>
  <si>
    <t>П-3,5 стеклоткань/плёнка</t>
  </si>
  <si>
    <t>П-3,5 полиэстер/плёнка</t>
  </si>
  <si>
    <t>К-4,5 стеклоткань/крошка серая</t>
  </si>
  <si>
    <t>К-4,5 полиэмтер/крошка серая</t>
  </si>
  <si>
    <t>СТЕКЛОФЛЕКС (СБС модифицированный кровельный наплавляемый материал)</t>
  </si>
  <si>
    <t>К-4,0 стеклохолст/сланец серый</t>
  </si>
  <si>
    <t>К-4,0 стеклоткань/крошка серая</t>
  </si>
  <si>
    <t>К-4,0 стеклоткань/сланец серый</t>
  </si>
  <si>
    <t>К-4,0 полиэстер/крошка серая</t>
  </si>
  <si>
    <t>К-4,0 полиэстер/сланец серый</t>
  </si>
  <si>
    <t>К-4,5 стеклоткань/сланец серый</t>
  </si>
  <si>
    <t>К-4,5 полиэстер/крошка серая</t>
  </si>
  <si>
    <t>К-4,5 полиэстер/сланец серый</t>
  </si>
  <si>
    <t>45</t>
  </si>
  <si>
    <t>37</t>
  </si>
  <si>
    <t>52,5</t>
  </si>
  <si>
    <t xml:space="preserve">Наименование продукции "СТАРАТЕЛИ"    </t>
  </si>
  <si>
    <t>Гипсовая (для ручного нанесения)</t>
  </si>
  <si>
    <t>Цементная (для машинного и ручного нанесения)</t>
  </si>
  <si>
    <t>Фасадная (для машинного и ручного нанесения)</t>
  </si>
  <si>
    <t>Оптимум (для машинного и ручного применения)</t>
  </si>
  <si>
    <t>Декоративная штукатурка Короед 2мм (для ручного нанесения)</t>
  </si>
  <si>
    <t>Декоративная штукатурка Короед 3мм (для ручного нанесения)</t>
  </si>
  <si>
    <t>Декоративная штукатурка серая Короед 2 мм</t>
  </si>
  <si>
    <t>Шукатурка Обрызг (для машинного и ручного нанесения)</t>
  </si>
  <si>
    <t>Гипсовая легкая Эколайт (для машинного и ручного нанесения)</t>
  </si>
  <si>
    <t>Штукатурка Цементно-песчаная Эколайт (для ручного и машинного нанесения)</t>
  </si>
  <si>
    <t>Гипсовая белая Профи (ручного нанесения)</t>
  </si>
  <si>
    <t>Гипсовая Белая (для ручного нанесения)</t>
  </si>
  <si>
    <t>Гипсовая (для машинного и ручного нанесения)</t>
  </si>
  <si>
    <t>MIXTER (для ручного нанесения)</t>
  </si>
  <si>
    <t>Декоративная штукатурка Шуба 3мм (для ручного нанесения)</t>
  </si>
  <si>
    <t>Пескобетон М150</t>
  </si>
  <si>
    <t>Пескобетон М300</t>
  </si>
  <si>
    <t>Пескобетон</t>
  </si>
  <si>
    <t>Наливные полы</t>
  </si>
  <si>
    <t>Толстый Толщина слоя от 30 до 100 мм</t>
  </si>
  <si>
    <t>Тонкий Толщина слоя от 1 до 20 мм</t>
  </si>
  <si>
    <t>Быстротвердеющий Толщина слоя от 5 до 100 мм</t>
  </si>
  <si>
    <t>Высокопрочный самонивелирующийся</t>
  </si>
  <si>
    <t>Стяжка С-10 Толщина слоя от 30 до 100 мм</t>
  </si>
  <si>
    <t>Практичный Толщина слоя от 5 до 70 мм</t>
  </si>
  <si>
    <t>Стяжка Эколайт толщина слоя то30 до 300 мм</t>
  </si>
  <si>
    <t>Шпатлёвки готовые</t>
  </si>
  <si>
    <t>Шпатлевка готовая суперфинишная</t>
  </si>
  <si>
    <t>Шпатлёвки сухие</t>
  </si>
  <si>
    <t>Базовая</t>
  </si>
  <si>
    <t>Толщина слоя от 0,8 до 8 мм</t>
  </si>
  <si>
    <t>Базовая Серая Толщина слоя от 0,8 до 8 мм</t>
  </si>
  <si>
    <t>Фасадная</t>
  </si>
  <si>
    <t>Толщина слоя от 0,8 до 10 мм</t>
  </si>
  <si>
    <t>Фасадная СераяТолщина слоя от 0,8 до 10 мм</t>
  </si>
  <si>
    <t>Фасадно-финишная Толщина слоя 0,3 до 3 мм</t>
  </si>
  <si>
    <t>Финишная (гипсовая) Толщина слоя от 0,3 до 3 мм</t>
  </si>
  <si>
    <t>Финишная Плюс Толщина слоя от 0,3 до 3 мм</t>
  </si>
  <si>
    <t>Финишная КР</t>
  </si>
  <si>
    <t>Гипсовая Выравнивающая</t>
  </si>
  <si>
    <t>Гидроизоляция</t>
  </si>
  <si>
    <t>Плиточные клеи</t>
  </si>
  <si>
    <t>Премиум</t>
  </si>
  <si>
    <t>Стандарт</t>
  </si>
  <si>
    <t>Плюс</t>
  </si>
  <si>
    <t>Люкс</t>
  </si>
  <si>
    <t>Быстрый</t>
  </si>
  <si>
    <t>Кладочные и монтажные смеси</t>
  </si>
  <si>
    <t>Теплоизол</t>
  </si>
  <si>
    <t>Кладочная смесь для ячеистых блоков</t>
  </si>
  <si>
    <t>Кладочная смесь для ячеистых блоков зимняя</t>
  </si>
  <si>
    <t>Кладочная смесь для печей и каминов</t>
  </si>
  <si>
    <t>Глубокого проникания</t>
  </si>
  <si>
    <t>Универсальная</t>
  </si>
  <si>
    <t>Для внутренних работ</t>
  </si>
  <si>
    <t>Бетон-контакт</t>
  </si>
  <si>
    <t>Грунтовка для пористых сильновпитывающих оснований</t>
  </si>
  <si>
    <t>Затирка для швов</t>
  </si>
  <si>
    <t>001 Кальцит, 002 Белый, 003 Дымчато-серый, 004 Серый, 005 Серо-голубой, 006 Ниагара, 007 Голубой, 008 Синий, 011 Сиреневый, 012 Лаванда, 013 Лиловый вереск, 014 Розовый, 015 Бледно-розовый, 016 Латте, 017 Капучино, 018 Карамель, 019 Бежевый, 020 Слоновая</t>
  </si>
  <si>
    <t>023 Оранжевый, 024 Коралловый, 025 Пурпурный</t>
  </si>
  <si>
    <t>009 Кобальт, 010 Фиолетовый, 028 Ярко-зеленый</t>
  </si>
  <si>
    <t>Фуга-блеск</t>
  </si>
  <si>
    <t>5</t>
  </si>
  <si>
    <t>7</t>
  </si>
  <si>
    <t>Монтажный клей для крепления пенополистирольных и минераловатных плит</t>
  </si>
  <si>
    <t>0,5</t>
  </si>
  <si>
    <t xml:space="preserve">вход с учетом доставки </t>
  </si>
  <si>
    <t>Дроблёнка</t>
  </si>
  <si>
    <t>ПЕНОПЛАСТ (ПЕНОПОЛИСТИРОЛ ПЛИТЫ)
ПСБ-С (ППС)</t>
  </si>
  <si>
    <t>ПСБ-С-50 (ППС-35)</t>
  </si>
  <si>
    <t xml:space="preserve">любой размер 
</t>
  </si>
  <si>
    <t>5-7мм</t>
  </si>
  <si>
    <t>7-10мм</t>
  </si>
  <si>
    <t>Гранулы вспененые</t>
  </si>
  <si>
    <t>1-5мм</t>
  </si>
  <si>
    <t>вход Орел</t>
  </si>
  <si>
    <t>вход склад +30р</t>
  </si>
  <si>
    <t>вход розница</t>
  </si>
  <si>
    <t>вход цена за мешок   -20%(розн)</t>
  </si>
  <si>
    <r>
      <t xml:space="preserve">DÖCKE PIE
</t>
    </r>
    <r>
      <rPr>
        <b/>
        <sz val="9"/>
        <rFont val="Palatino Linotype"/>
        <family val="1"/>
        <charset val="204"/>
      </rPr>
      <t>Гибкая черепица с битумной сваркой гонтов</t>
    </r>
  </si>
  <si>
    <t>от 1уп.</t>
  </si>
  <si>
    <r>
      <rPr>
        <b/>
        <sz val="10"/>
        <color theme="1"/>
        <rFont val="Palatino Linotype"/>
        <family val="1"/>
        <charset val="204"/>
      </rPr>
      <t>Рубемаст</t>
    </r>
    <r>
      <rPr>
        <sz val="10"/>
        <color theme="1"/>
        <rFont val="Palatino Linotype"/>
        <family val="1"/>
        <charset val="204"/>
      </rPr>
      <t xml:space="preserve"> Отличается повышенной пластичностью. Это достигается путем нанесения на кровельный картон-основание увеличенного количества вязкого битума. Такой материал имеет более длительный срок службы, практически не растрескивается.</t>
    </r>
  </si>
  <si>
    <r>
      <rPr>
        <b/>
        <sz val="10"/>
        <color theme="1"/>
        <rFont val="Palatino Linotype"/>
        <family val="1"/>
        <charset val="204"/>
      </rPr>
      <t>Стеклорубероид</t>
    </r>
    <r>
      <rPr>
        <sz val="10"/>
        <color theme="1"/>
        <rFont val="Palatino Linotype"/>
        <family val="1"/>
        <charset val="204"/>
      </rPr>
      <t xml:space="preserve"> Тот же рубемаст, за исключением материала основания. Вместо непрочного картона используется специальная стеклоткань. Может выпускаться в различных модификациях.</t>
    </r>
  </si>
  <si>
    <t xml:space="preserve">Гибкая черепица Дёке производится на современном заводе, построенном во Владимирской области и оснащенном инновационным, высоко технологичным оборудованием, уникальным по своим характеристикам и возможностям. Завод выпускает уникальную продукцию, аналогов которой нет на территории России. Этим объясняется высокая популярность материала.  </t>
  </si>
  <si>
    <t>Отличается богатой цветовой гаммой и оригинальными дизайнерскими решениями</t>
  </si>
  <si>
    <t>Гарантирует надежную защиту от любых погодных явлений</t>
  </si>
  <si>
    <t>Обладает отличной звукоизоляцией</t>
  </si>
  <si>
    <t>Устойчива к процессам гниения, размножения грибков и плесени</t>
  </si>
  <si>
    <t>Сохраняет тепло</t>
  </si>
  <si>
    <t>Легко и быстро монтируется, не требует специальных инструментов и навыков</t>
  </si>
  <si>
    <t>Универсальный материал, который отлично сочетается с виниловым сайдингом, фасадными панелями и другими материалами для наружной отделки здания</t>
  </si>
  <si>
    <t>У нас Вы всегда сможете выбрать и приобрести по доступной цене необходимый объем гибкой черепицы Деке. Мы готовы оказать помощь в расчете нужного количества строительного материала и его монтаже</t>
  </si>
  <si>
    <t>Обеспечит Вашему дому респектабельный внешний облик</t>
  </si>
  <si>
    <t>Черепица Docke PIE, серия SIMPLE</t>
  </si>
  <si>
    <t>Черепица Docke PIE, серия GOLD</t>
  </si>
  <si>
    <t>Коньково-карнизная черепица/Зелёный, Коричневый, Красный, Серый</t>
  </si>
  <si>
    <t>COTA/Зелёный, Коричневый, Красный, Серый</t>
  </si>
  <si>
    <t>ТЕТРИС/Зелёный, Коричневый, Красный</t>
  </si>
  <si>
    <t>КОЛЬЧУГА/Зелёный, Коричневый, Красный</t>
  </si>
  <si>
    <t>КОРОНА/Коричневый, Красный, Серый</t>
  </si>
  <si>
    <t>НИЦЦА/Каштан, Фундук, Барбарис, Щербет</t>
  </si>
  <si>
    <t>КЁЛЬН/Имьбирь, Корица, Мята, Чернослив</t>
  </si>
  <si>
    <t>ШЕФФИЛД/Бисквит, Кофе, Миндаль, Клубника</t>
  </si>
  <si>
    <t>ГРАНАДА/Какао, Кофе, Кунжут, Инжир</t>
  </si>
  <si>
    <t>ГЕНУЯ/Амаретто, Трюфель, Канноли, Мускат</t>
  </si>
  <si>
    <t>ЛЬЁЖ/Грильяж, Ирис, Барбарис, Изюм</t>
  </si>
  <si>
    <t>ЦЮРИХ/Арахис, Кофе, Чили, Фладен, Изюм</t>
  </si>
  <si>
    <t>ЖЕНЕВА/Арахис, Кофе, Чили, Фладен, Изюм</t>
  </si>
  <si>
    <t>САПОРО/Вагаси, Кофе, Мускат, Слива</t>
  </si>
  <si>
    <t>Коньково-карнизная черепица/все цвета</t>
  </si>
  <si>
    <t>Ендовые ковры Docke PIE</t>
  </si>
  <si>
    <t>1000/все цвета</t>
  </si>
  <si>
    <t>Прокладочные ковры</t>
  </si>
  <si>
    <t>STANDART</t>
  </si>
  <si>
    <t>м2 в упак.</t>
  </si>
  <si>
    <t>STANDART PLUS</t>
  </si>
  <si>
    <t>COMFORT GLASS SBS модифицированный</t>
  </si>
  <si>
    <t>СOMFORT SBS модифицированный</t>
  </si>
  <si>
    <t>FIX GLASS SBS модифицированный, самоклеящийся</t>
  </si>
  <si>
    <t>FIX PLAST модифицированный, самоклеящийся</t>
  </si>
  <si>
    <t>Комплектующие</t>
  </si>
  <si>
    <t>Мастика для гибкой черепицы, 0,29л</t>
  </si>
  <si>
    <t>Мастика для гибкой черепицы, 5л</t>
  </si>
  <si>
    <t>Мастика для гибкой черепицы, 10л</t>
  </si>
  <si>
    <t>Гвозди кровельные оцинкованные ершёвые, 5кг</t>
  </si>
  <si>
    <t>Снегозадержатели, цвет шоколад (90шт)</t>
  </si>
  <si>
    <t>вход цена за м2</t>
  </si>
  <si>
    <t>Ведущий мереджер по развитию</t>
  </si>
  <si>
    <t>Гибкая черепица docke PIE</t>
  </si>
  <si>
    <t>Наименование продукции</t>
  </si>
  <si>
    <t>Праймер, мастика, битум</t>
  </si>
  <si>
    <t>Битумная мастика Пруф</t>
  </si>
  <si>
    <t>Битумный праймер Пруф</t>
  </si>
  <si>
    <t>Битумная мастика МБИ</t>
  </si>
  <si>
    <t>Праймер битумный Эконом</t>
  </si>
  <si>
    <t>Битумная кровельная холодная мастика МБК-Х-65</t>
  </si>
  <si>
    <t>Битумная кровельная холодная мастика МБК-Х-75</t>
  </si>
  <si>
    <t>Битумная резиновая холодная мастика МБР-Х-65</t>
  </si>
  <si>
    <t>Битумная резиновая холодная мастика МБК-Г-55</t>
  </si>
  <si>
    <t>Битумная кровельная горячая МБК-Г-65</t>
  </si>
  <si>
    <t>Битумная кровельная горячая МБК-Г-75</t>
  </si>
  <si>
    <t>Битумно-резиновая горячая мастика МБР-65</t>
  </si>
  <si>
    <t>Битумно-резиновая горячая мастика МБР-75</t>
  </si>
  <si>
    <t>Битумно-масляная мастика МБ-50</t>
  </si>
  <si>
    <t>Битумная резиновая холодная мастика МБР-Х-75</t>
  </si>
  <si>
    <t>вход цена Москва</t>
  </si>
  <si>
    <t>ведро/ мешок/ кг/л</t>
  </si>
  <si>
    <t>16 /18</t>
  </si>
  <si>
    <t>за штуку</t>
  </si>
  <si>
    <t>Используется для создания защитных гидроизоляционных покрытий как снаружи, так и внутри помещения, поскольку не выделяет вредных веществ и запахов. Может наноситься в качестве предварительной грунтовки на бетон, штукатурку или цементную стяжку. Сверху должна создаваться основная гидроизоляция: битумный или наплавляемый рубероид или мастика битумно-полимерная Может применяться внутри помещений, так как является абсолютно экологически безопасным материалом. Покрытие имеет черный цвет и может долго противостоять воздействию влаги. Для гидроизоляции труб газопроводов и нефтепроводов, крыш и фундаментов зданий, а так же сварных швов, используется мастика горячего нанесения. Такие мастики требуют предварительного разогрева до температуры 160°С и наносятся на поверхности, подготовленные соответствующим образом. Обычно используется резинобитумная мастика марки МБР. Нанесение мастики на поверхность должно осуществляться при окружающей температуре не менее 10°С и отсутствии осадков.</t>
  </si>
  <si>
    <t>Мастики, Битумы, Праймеры</t>
  </si>
  <si>
    <t>Изовол Л-35</t>
  </si>
  <si>
    <t>Изовол СТ</t>
  </si>
  <si>
    <t>Изовол В</t>
  </si>
  <si>
    <t>Изовол Ф</t>
  </si>
  <si>
    <t>Изовол К</t>
  </si>
  <si>
    <t>Изовол КВ</t>
  </si>
  <si>
    <t>Тепло-,звуко- и пожароизоляция ненагружаемых конструкций</t>
  </si>
  <si>
    <t>Изоляция в многослойных стенах из мелкоштучных материалов</t>
  </si>
  <si>
    <t>Изоляция наружных стен зданий с последующим оштукатуриванием по армирующей сетке</t>
  </si>
  <si>
    <t>Изоляция в однослойных покрытиях плоских кровель. </t>
  </si>
  <si>
    <t>Нижний слой в двухслойной системе.</t>
  </si>
  <si>
    <t>Верхний слой в многослойных системах кровельной изоляции.</t>
  </si>
  <si>
    <t>1000*600*50-100</t>
  </si>
  <si>
    <t>1000*600*50-120</t>
  </si>
  <si>
    <t>1000*600*50-150</t>
  </si>
  <si>
    <t>1000*600*30-50</t>
  </si>
  <si>
    <t>1200*1000*50/100/110</t>
  </si>
  <si>
    <t>1200*1000*30/40/50/60</t>
  </si>
  <si>
    <t>вх. Белгород (самов.)</t>
  </si>
  <si>
    <t>Показатель плотности, кг/м3</t>
  </si>
  <si>
    <t xml:space="preserve">вх. </t>
  </si>
  <si>
    <t>Ненагружаемые конструкции, каркасные конструкциии.</t>
  </si>
  <si>
    <t>Средний слой в слоистых кладках</t>
  </si>
  <si>
    <t>Вентилируемые фасады</t>
  </si>
  <si>
    <t>Фасады под штукатурку</t>
  </si>
  <si>
    <t>Нижний слой плоской кровли</t>
  </si>
  <si>
    <t>Нижний слой в системах вентилируемых плоских кровель</t>
  </si>
  <si>
    <t>Плоская кровля в один слой</t>
  </si>
  <si>
    <t>Верхний слой плоской кровли</t>
  </si>
  <si>
    <t>РОКЛАЙТ</t>
  </si>
  <si>
    <t>ТЕХНОЛАЙТ ЭКСТРА</t>
  </si>
  <si>
    <t>ТЕХНОЛАЙТ ОПТИМА</t>
  </si>
  <si>
    <t>ТЕХНОБЛОК СТАНДАРТ</t>
  </si>
  <si>
    <t>ТЕХНОАКУСТИК</t>
  </si>
  <si>
    <t>ТЕХНОВЕНТ СТАНДАРТ</t>
  </si>
  <si>
    <t>ТЕХНОВЕНТ ОПТИМА</t>
  </si>
  <si>
    <t>ТЕХНОВЕНТ ПРОФ</t>
  </si>
  <si>
    <t>ТЕХНОФАС</t>
  </si>
  <si>
    <t>ТЕХНОФАС ЭФФЕКТ</t>
  </si>
  <si>
    <t>ТЕХНОФАС ЭКСТРА</t>
  </si>
  <si>
    <t>ТЕХНОРУФ Н 30</t>
  </si>
  <si>
    <t>ТЕХНОРУФ Н 30 ВЕНТ</t>
  </si>
  <si>
    <t>ТЕХНОРУФ 45</t>
  </si>
  <si>
    <t>ТЕХНОРУФ В60</t>
  </si>
  <si>
    <t>30-40</t>
  </si>
  <si>
    <t>30-38</t>
  </si>
  <si>
    <t>40-50</t>
  </si>
  <si>
    <t>40-48</t>
  </si>
  <si>
    <t>126-154</t>
  </si>
  <si>
    <t>131-159</t>
  </si>
  <si>
    <t>100-130</t>
  </si>
  <si>
    <t>110-130</t>
  </si>
  <si>
    <t>150-175</t>
  </si>
  <si>
    <t>100-120</t>
  </si>
  <si>
    <t>1200*600*50-100</t>
  </si>
  <si>
    <t>1200*600*50-200</t>
  </si>
  <si>
    <t>1200*600*50-150</t>
  </si>
  <si>
    <t>1200*600*50-190</t>
  </si>
  <si>
    <t>1200*600*40-50</t>
  </si>
  <si>
    <t>ЛАЙТ БАТТС</t>
  </si>
  <si>
    <t>ЛАЙТ БАТТС ЭКСТРА</t>
  </si>
  <si>
    <t>САУНА БАТТС</t>
  </si>
  <si>
    <t>АКУСТИК БАТТС</t>
  </si>
  <si>
    <t>АКУСТИК БАТТС ПРО</t>
  </si>
  <si>
    <t>ФЛОР БАТТС</t>
  </si>
  <si>
    <t>ФЛОР БАТТС И</t>
  </si>
  <si>
    <t>КАВИТИ БАТТС</t>
  </si>
  <si>
    <t>ВЕНТИ БАТТС Д</t>
  </si>
  <si>
    <t>ВЕНТИ БАТТС Д ОПТИМА</t>
  </si>
  <si>
    <t>ВЕНТИ БАТТС</t>
  </si>
  <si>
    <t>ВЕНТИ БАТТС Н</t>
  </si>
  <si>
    <t>ВЕНТИ БАТТС Н ОПТИМА</t>
  </si>
  <si>
    <t>ВЕНТИ БАТТС ОПТИМА</t>
  </si>
  <si>
    <t xml:space="preserve">РУФ БАТТС Д ЭКСТРА </t>
  </si>
  <si>
    <t xml:space="preserve">РУФ БАТТС Д ОПТИМА </t>
  </si>
  <si>
    <t>РУФ БАТТС Д СТАНДАРТ</t>
  </si>
  <si>
    <t xml:space="preserve">РУФ БАТТС В ЭКСТРА </t>
  </si>
  <si>
    <t xml:space="preserve">РУФ БАТТС В ОПТИМА </t>
  </si>
  <si>
    <t xml:space="preserve">РУФ БАТТС Н ЭКСТРА </t>
  </si>
  <si>
    <t xml:space="preserve">РУФ БАТТС Н ОПТИМА </t>
  </si>
  <si>
    <t>ФАСАД БАТТС ЭКСТРА</t>
  </si>
  <si>
    <t>ФАСАД БАТТС ОПТИМА</t>
  </si>
  <si>
    <t>ФАСАД БАТТС Д ЭКСТРА</t>
  </si>
  <si>
    <t>ФАСАД БАТТС Д ОПТИМА</t>
  </si>
  <si>
    <t>ПЛАСТЕР БАТТС</t>
  </si>
  <si>
    <t>УЛЬТРАТОНКИЙ (АКУСТИК БАТТС ПРО)</t>
  </si>
  <si>
    <t>ЛАЙТ БАТТС СКАНДИК</t>
  </si>
  <si>
    <t>45 /90</t>
  </si>
  <si>
    <t>37 /80</t>
  </si>
  <si>
    <t>130 /235</t>
  </si>
  <si>
    <t>120 /205</t>
  </si>
  <si>
    <t>110 /180</t>
  </si>
  <si>
    <t>1000*600*50-200</t>
  </si>
  <si>
    <t>1000*600*50/100</t>
  </si>
  <si>
    <t>800*600*50/100</t>
  </si>
  <si>
    <t>1000*600*30</t>
  </si>
  <si>
    <t>КАМИН БАТТС (одна сторона каширована фольгой)</t>
  </si>
  <si>
    <t>1000*600*27</t>
  </si>
  <si>
    <t>1000*600*25</t>
  </si>
  <si>
    <t>1000*600*25-200</t>
  </si>
  <si>
    <t>1000*600*80-250</t>
  </si>
  <si>
    <t>1000*600*100-200</t>
  </si>
  <si>
    <t>1000*600*30-200</t>
  </si>
  <si>
    <t>1000*600*40-200</t>
  </si>
  <si>
    <t>1000*600*60-200</t>
  </si>
  <si>
    <t>1200*1000*60-200</t>
  </si>
  <si>
    <t>1000*600*50</t>
  </si>
  <si>
    <t>1000*600*100</t>
  </si>
  <si>
    <t>1200*600*50*250</t>
  </si>
  <si>
    <t>1000*600*70-250</t>
  </si>
  <si>
    <t>по зпросу</t>
  </si>
  <si>
    <t>запрос</t>
  </si>
  <si>
    <t>IZOVOL</t>
  </si>
  <si>
    <t>Продукция IZOVOL предлагает Потребителям оптимальное решение проблемы (тепло-; звуко-; пожаро-) изоляции в строительных изделиях, конструкциях и системах, применяемых в новом строительстве и при реконструкции зданий и сооружений различного назначения в промышленном и гражданском строительстве.</t>
  </si>
  <si>
    <t>Одним из важнейших качеств волокнистых утеплителей IZOVOL является стойкость к влажной среде. Если материал активно впитывает влагу, его термоизоляционные качества резко снижаются. Кроме того, излишек поглощенной воды может негативно сказываться на сохранении заданных утеплителю геометрических форм, что приводит с переуплотнению, оседанию волокнистой среды и выходу из соя все утеплительной конструкции в целом.</t>
  </si>
  <si>
    <t>ROCKWOOL</t>
  </si>
  <si>
    <t>Теплоизоляция Роквул- это высокого качества утеплитель состоящий из минеральной ваты выполненной на основе волокна из базальта. ROCKWOOL является в своей стихии очень популярным и известным производителем систем теплоизоляции и сопутствующих материалов. Производимая ими продукция применяется при утеплении различных конструкций начиная от фасадов и заканчивая внутренними работами. При этом теплоизоляция Роквул не только является высококачественным материалом, но и экологичным что подтверждают множественные сертификаты.</t>
  </si>
  <si>
    <t>Техно
НИКОЛЬ</t>
  </si>
  <si>
    <t>Минеральная вата «Технониколь» используется во многих отраслях строительства в качестве изоляционного материала, позволяющего защитить внутреннее пространство от проникновения холода и звуковых эффектов. Она может применяться в следующих ситуациях.</t>
  </si>
  <si>
    <t>Для теплоизоляции фасадов здания непосредственно под отделочные материалы с укладкой влагозащитной пленки. В системах с внутренним утеплением ограждающих конструкций. Для защиты промышленного оборудования, технологических трубопроводов и резервуаров. При проведении работ по теплоизоляции плоских и скатных кровель. В качестве огнезащиты при возведении или реконструкции сооружений с повышенным температурным режимом.</t>
  </si>
  <si>
    <t>Беря в расчет жесткие требования, предъявляемые к пожарной безопасности, можно с уверенностью говорить, что базальтовый утеплитель является одним из немногих вариантов для потенциально опасных конструкций, способных приводить к воспламенению поверхностей.</t>
  </si>
  <si>
    <t>Плиты HOTROCK Руф С предназначены для применения в качестве основного теплоизоляционного слоя в однослойной системе утепления плоской кровли с битумной гидроизоляцией покрытия из железобетона или металлического профлиста.</t>
  </si>
  <si>
    <r>
      <t xml:space="preserve">Хотрок Руф С </t>
    </r>
    <r>
      <rPr>
        <sz val="10"/>
        <rFont val="Palatino Linotype"/>
        <family val="1"/>
        <charset val="204"/>
      </rPr>
      <t>Пл.150кг/м3
λ-0,38 Вт/м*К
50 кПа -проч.на сжат.</t>
    </r>
    <r>
      <rPr>
        <b/>
        <sz val="10"/>
        <rFont val="Palatino Linotype"/>
        <family val="1"/>
        <charset val="204"/>
      </rPr>
      <t xml:space="preserve">
</t>
    </r>
  </si>
  <si>
    <t>Специализированная серия утеплителя, применяемого:
для теплоизоляции полов, в т.ч. по грунту,
для устройства акустических плавающих полов со стяжкой из цементного раствора,
для устройства акустических плавающих полов со сборной стяжкой из цементно-стружечных плит (ЦСП),
для устройства акустических плавающих полов со сборной стяжкой из гипсоволокнистых листов (ГВЛ).</t>
  </si>
  <si>
    <r>
      <t xml:space="preserve">Хотрок Флор </t>
    </r>
    <r>
      <rPr>
        <sz val="10"/>
        <rFont val="Palatino Linotype"/>
        <family val="1"/>
        <charset val="204"/>
      </rPr>
      <t>Пл.120кг/м3
λ-0,41 Вт/м*К
30 кПа -проч.на сжат.</t>
    </r>
    <r>
      <rPr>
        <b/>
        <sz val="10"/>
        <rFont val="Palatino Linotype"/>
        <family val="1"/>
        <charset val="204"/>
      </rPr>
      <t xml:space="preserve">
</t>
    </r>
  </si>
  <si>
    <t>ИЗОРУФ В
(плотность 170кг/м3)</t>
  </si>
  <si>
    <t>плиты плиты ИЗОРУФ (ISOROOF) предназначены для применения в гражданском и промышленном строительстве в качестве теплоизоляционного слоя в одно-, двухслойных (по плотности) теплоизоляционных покрытиях плоских крыш, в том числе и без устройства защитной цементно-песчаной стяжки (гидроизоляционный ковер можно укладывать непосредственно на поверхность плит без устройства цементной стяжки).</t>
  </si>
  <si>
    <t>2,4</t>
  </si>
  <si>
    <t>4/5</t>
  </si>
  <si>
    <t>1000*500/600*40/50</t>
  </si>
  <si>
    <t>Изобел Л-25</t>
  </si>
  <si>
    <t>Железнодорожный (самов.)</t>
  </si>
  <si>
    <r>
      <rPr>
        <b/>
        <sz val="10"/>
        <color theme="1"/>
        <rFont val="Palatino Linotype"/>
        <family val="1"/>
        <charset val="204"/>
      </rPr>
      <t>ООО "ЦЕНТР-ТИМ"</t>
    </r>
    <r>
      <rPr>
        <sz val="10"/>
        <color theme="1"/>
        <rFont val="Palatino Linotype"/>
        <family val="1"/>
        <charset val="204"/>
      </rPr>
      <t xml:space="preserve">   Платонов Иван 89536104242</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</si>
  <si>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</si>
  <si>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</si>
  <si>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t xml:space="preserve">Профиль для монтажа гипсокартона </t>
  </si>
  <si>
    <t>Наименование</t>
  </si>
  <si>
    <t>Кол-во м пог  в упаковке</t>
  </si>
  <si>
    <t>Кол-во м пог в МП</t>
  </si>
  <si>
    <t>Толщина, в мм</t>
  </si>
  <si>
    <t>Профиль ПП 60*27</t>
  </si>
  <si>
    <t>п.м.</t>
  </si>
  <si>
    <t>Профиль ПНП 28*27</t>
  </si>
  <si>
    <t>Профиль ПС 50*50</t>
  </si>
  <si>
    <t>Профиль ПН 50*40</t>
  </si>
  <si>
    <t>Профиль ПС 75*50</t>
  </si>
  <si>
    <t>Профиль ПН 75*40</t>
  </si>
  <si>
    <t>Профиль ПС 100*50</t>
  </si>
  <si>
    <t>Профиль ПН 100*40</t>
  </si>
  <si>
    <t>Профиль ППЭ 47*17</t>
  </si>
  <si>
    <t>Профиль ПНПЭ 20*17</t>
  </si>
  <si>
    <t>Штукатурные маяки и перфорированные углы</t>
  </si>
  <si>
    <t>Кол-во в упаковке
большая</t>
  </si>
  <si>
    <t>Кол-во в упаковке
малая</t>
  </si>
  <si>
    <t>Цена р/м пог</t>
  </si>
  <si>
    <t>Профиль угловой ПУ 20*20  AL</t>
  </si>
  <si>
    <t>Профиль угловой ПУ 20*20</t>
  </si>
  <si>
    <t>Профиль угловой ПУ 25*25  AL</t>
  </si>
  <si>
    <t>Профиль угловой ПУ 25*25</t>
  </si>
  <si>
    <t>Профиль угловой ПУ 31*31</t>
  </si>
  <si>
    <t>Профиль маячковый ПМ 23*6</t>
  </si>
  <si>
    <t>Профиль маячковый ПМ 10*18</t>
  </si>
  <si>
    <t>Профиль маячковый ПМ 24*10</t>
  </si>
  <si>
    <t>Соединительные и крепежные элементы для ГКЛ</t>
  </si>
  <si>
    <t>Кол-во на 
поддоне</t>
  </si>
  <si>
    <t>Кол-во в
упаковке</t>
  </si>
  <si>
    <t>Комплектующие к профилю ПП 60*27</t>
  </si>
  <si>
    <t>Подвес прямой (294*30мм)</t>
  </si>
  <si>
    <t>Соединитель профилей (краб) (148*148 мм)</t>
  </si>
  <si>
    <t>Удлинитель профилей</t>
  </si>
  <si>
    <r>
      <t xml:space="preserve">Паро-влагозащитная мембрана </t>
    </r>
    <r>
      <rPr>
        <b/>
        <sz val="10"/>
        <color theme="1"/>
        <rFont val="Palatino Linotype"/>
        <family val="1"/>
        <charset val="204"/>
      </rPr>
      <t>Изолайк А</t>
    </r>
    <r>
      <rPr>
        <sz val="10"/>
        <color theme="1"/>
        <rFont val="Palatino Linotype"/>
        <family val="1"/>
        <charset val="204"/>
      </rPr>
      <t xml:space="preserve"> 3(70кв.м)</t>
    </r>
  </si>
  <si>
    <t>ООО "ЦЕНТР-ТИМ"   Платонов Иван 89536104242  centrtim57@mail.ru   15/03/18</t>
  </si>
  <si>
    <t>Прайс-лист на дюбель для крепления теплоизоляции с 09.01.19</t>
  </si>
  <si>
    <t>Кол-во в коробе., шт.</t>
  </si>
  <si>
    <t>Дюбель для теплоизоляции с металлическим гвоздем</t>
  </si>
  <si>
    <t>ИЗМ 10х90</t>
  </si>
  <si>
    <t>1 000</t>
  </si>
  <si>
    <t>ИЗМ 10х120</t>
  </si>
  <si>
    <t>700</t>
  </si>
  <si>
    <t>ИЗМ 10х140</t>
  </si>
  <si>
    <t>600</t>
  </si>
  <si>
    <t>ИЗМ 10х160</t>
  </si>
  <si>
    <t>500</t>
  </si>
  <si>
    <t>ИЗМ 10х180</t>
  </si>
  <si>
    <t>ИЗМ 10х200</t>
  </si>
  <si>
    <t>ИЗМ 10х220</t>
  </si>
  <si>
    <t>400</t>
  </si>
  <si>
    <t>ИЗМ 10х260</t>
  </si>
  <si>
    <t>ИЗМ 10х300</t>
  </si>
  <si>
    <t>Дюбель для теплоизоляции с термоголовой</t>
  </si>
  <si>
    <t>ИЗТ(ГТ) 10х120</t>
  </si>
  <si>
    <t>ИЗТ(ГТ) 10х140</t>
  </si>
  <si>
    <t>ИЗТ(ГТ) 10х160</t>
  </si>
  <si>
    <t>ИЗТ(ГТ) 10х180</t>
  </si>
  <si>
    <t>ИЗТ(ГТ) 10х200</t>
  </si>
  <si>
    <t>ИЗТ(ГТ) 10х220</t>
  </si>
  <si>
    <t>ИЗТ(ГТ) 10х260</t>
  </si>
  <si>
    <t>ИЗТ(ГТ) 10х300</t>
  </si>
  <si>
    <t>Дюбель для теплоизоляции с  пластиковым гвоздем</t>
  </si>
  <si>
    <t>ИЗО 10х80</t>
  </si>
  <si>
    <t>ИЗО 10х90</t>
  </si>
  <si>
    <t>ИЗО 10х100</t>
  </si>
  <si>
    <t>800</t>
  </si>
  <si>
    <t>ИЗО 10х110</t>
  </si>
  <si>
    <t>ИЗО 10х120</t>
  </si>
  <si>
    <t>ИЗО 10х140</t>
  </si>
  <si>
    <t>ИЗО 10х160</t>
  </si>
  <si>
    <t>ИЗО 10х180</t>
  </si>
  <si>
    <t>ИЗО 10х200</t>
  </si>
  <si>
    <t>ИЗО 10х220</t>
  </si>
  <si>
    <t>Рондоль 50мм</t>
  </si>
  <si>
    <t>250/ 3 000</t>
  </si>
  <si>
    <t>Рондоль NLO 6*60</t>
  </si>
  <si>
    <t>Дюбель ИЗМ(вт) с метал.гвоздем и  влаго-термозащитной крышкой</t>
  </si>
  <si>
    <t>ИЗМ-вт  10х 90</t>
  </si>
  <si>
    <t>ИЗМ-вт  10х120</t>
  </si>
  <si>
    <t>ИЗМ-вт  10х140</t>
  </si>
  <si>
    <t>ИЗМ-вт  10х160</t>
  </si>
  <si>
    <t>ИЗМ-вт  10х180</t>
  </si>
  <si>
    <t>ИЗМ-вт  10х200</t>
  </si>
  <si>
    <t>ИЗМ-вт  10х220</t>
  </si>
  <si>
    <t>ИЗМ-вт  10х260</t>
  </si>
  <si>
    <t>ИЗМ-вт  10х300</t>
  </si>
  <si>
    <t>Цена в руб. с НДС от 1000шт.</t>
  </si>
  <si>
    <r>
      <t xml:space="preserve">Цена в руб. с НДС от         </t>
    </r>
    <r>
      <rPr>
        <u/>
        <sz val="12"/>
        <rFont val="Arial"/>
        <family val="2"/>
        <charset val="204"/>
      </rPr>
      <t>1 шт.</t>
    </r>
  </si>
  <si>
    <r>
      <rPr>
        <b/>
        <sz val="10"/>
        <color theme="1"/>
        <rFont val="Palatino Linotype"/>
        <family val="1"/>
        <charset val="204"/>
      </rPr>
      <t>ООО "ЦЕНТР-ТИМ"</t>
    </r>
    <r>
      <rPr>
        <sz val="10"/>
        <color theme="1"/>
        <rFont val="Palatino Linotype"/>
        <family val="1"/>
        <charset val="204"/>
      </rPr>
      <t xml:space="preserve">   Платонов Иван 89536104242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</si>
  <si>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</si>
  <si>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t>ПСБ-С-15 (</t>
    </r>
    <r>
      <rPr>
        <b/>
        <sz val="10"/>
        <color theme="1"/>
        <rFont val="Palatino Linotype"/>
        <family val="1"/>
        <charset val="204"/>
      </rPr>
      <t>ППС-10</t>
    </r>
    <r>
      <rPr>
        <sz val="10"/>
        <color theme="1"/>
        <rFont val="Palatino Linotype"/>
        <family val="1"/>
        <charset val="204"/>
      </rPr>
      <t>)</t>
    </r>
  </si>
  <si>
    <r>
      <t>ПСБ-С-25 (</t>
    </r>
    <r>
      <rPr>
        <b/>
        <sz val="10"/>
        <color theme="1"/>
        <rFont val="Palatino Linotype"/>
        <family val="1"/>
        <charset val="204"/>
      </rPr>
      <t>ППС-14</t>
    </r>
    <r>
      <rPr>
        <sz val="10"/>
        <color theme="1"/>
        <rFont val="Palatino Linotype"/>
        <family val="1"/>
        <charset val="204"/>
      </rPr>
      <t>)</t>
    </r>
  </si>
  <si>
    <r>
      <t>ПСБ-С-25 О (</t>
    </r>
    <r>
      <rPr>
        <b/>
        <sz val="10"/>
        <color theme="1"/>
        <rFont val="Palatino Linotype"/>
        <family val="1"/>
        <charset val="204"/>
      </rPr>
      <t>ППС-15</t>
    </r>
    <r>
      <rPr>
        <sz val="10"/>
        <color theme="1"/>
        <rFont val="Palatino Linotype"/>
        <family val="1"/>
        <charset val="204"/>
      </rPr>
      <t>)</t>
    </r>
  </si>
  <si>
    <r>
      <t>ПСБ-С-25 Ф (</t>
    </r>
    <r>
      <rPr>
        <b/>
        <sz val="10"/>
        <color theme="1"/>
        <rFont val="Palatino Linotype"/>
        <family val="1"/>
        <charset val="204"/>
      </rPr>
      <t>ППС-16Ф</t>
    </r>
    <r>
      <rPr>
        <sz val="10"/>
        <color theme="1"/>
        <rFont val="Palatino Linotype"/>
        <family val="1"/>
        <charset val="204"/>
      </rPr>
      <t>)</t>
    </r>
  </si>
  <si>
    <r>
      <t>ПСБ-С-35 (</t>
    </r>
    <r>
      <rPr>
        <b/>
        <sz val="10"/>
        <color theme="1"/>
        <rFont val="Palatino Linotype"/>
        <family val="1"/>
        <charset val="204"/>
      </rPr>
      <t>ППС-25</t>
    </r>
    <r>
      <rPr>
        <sz val="10"/>
        <color theme="1"/>
        <rFont val="Palatino Linotype"/>
        <family val="1"/>
        <charset val="204"/>
      </rPr>
      <t>)</t>
    </r>
  </si>
  <si>
    <r>
      <rPr>
        <b/>
        <sz val="10"/>
        <color theme="1"/>
        <rFont val="Palatino Linotype"/>
        <family val="1"/>
        <charset val="204"/>
      </rPr>
      <t>ООО "ЦЕНТР-ТИМ"</t>
    </r>
    <r>
      <rPr>
        <sz val="10"/>
        <color theme="1"/>
        <rFont val="Palatino Linotype"/>
        <family val="1"/>
        <charset val="204"/>
      </rPr>
      <t xml:space="preserve">   Ведущий менеджер   </t>
    </r>
    <r>
      <rPr>
        <b/>
        <sz val="10"/>
        <color theme="1"/>
        <rFont val="Palatino Linotype"/>
        <family val="1"/>
        <charset val="204"/>
      </rPr>
      <t>Поляков Андрей  +7 920 803 0102</t>
    </r>
    <r>
      <rPr>
        <sz val="10"/>
        <color theme="1"/>
        <rFont val="Palatino Linotype"/>
        <family val="1"/>
        <charset val="204"/>
      </rPr>
      <t xml:space="preserve">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</si>
  <si>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</si>
  <si>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</si>
  <si>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t>Наименование материала</t>
  </si>
  <si>
    <t>Размер упаковки</t>
  </si>
  <si>
    <t>Описание</t>
  </si>
  <si>
    <t>Стеклоизол ХПП 2,5</t>
  </si>
  <si>
    <t>10м2/42 рул</t>
  </si>
  <si>
    <t xml:space="preserve"> 0/+80</t>
  </si>
  <si>
    <t>Стеклоизол ТПП 2,5</t>
  </si>
  <si>
    <t>10м2/23 рул</t>
  </si>
  <si>
    <t>Стеклоизол ТПП 3,0</t>
  </si>
  <si>
    <t>Стеклоизол ХКП 3,5</t>
  </si>
  <si>
    <t>10м2/25 рул</t>
  </si>
  <si>
    <t>Стеклоизол ТКП 3,5</t>
  </si>
  <si>
    <t>Стеклоизол ТКП 4,0</t>
  </si>
  <si>
    <t>Линокром ХПП</t>
  </si>
  <si>
    <t>15м2/20 рул</t>
  </si>
  <si>
    <t>Линокром ТПП</t>
  </si>
  <si>
    <t>Линокром ХКП сл. серый</t>
  </si>
  <si>
    <t>Линокром ТКП сл. серый</t>
  </si>
  <si>
    <t>Биполь ХПП</t>
  </si>
  <si>
    <t>15м2/23 рул</t>
  </si>
  <si>
    <t xml:space="preserve"> -15/+85</t>
  </si>
  <si>
    <t>Биполь ТПП</t>
  </si>
  <si>
    <t>Биполь ЭПП</t>
  </si>
  <si>
    <t>Биполь ХКП сл. серый</t>
  </si>
  <si>
    <t>Биполь ТКП сл. серый</t>
  </si>
  <si>
    <t>Биполь ЭКП сл. серый</t>
  </si>
  <si>
    <t>Унифлекс ХПП</t>
  </si>
  <si>
    <t>10м2/28 рул</t>
  </si>
  <si>
    <t xml:space="preserve"> -20/+95</t>
  </si>
  <si>
    <t>Унифлекс ТПП</t>
  </si>
  <si>
    <t>Унифлекс ЭПП</t>
  </si>
  <si>
    <t>Унифлекс ХКП сл. серый</t>
  </si>
  <si>
    <t>Унифлекс ТКП сл. серый</t>
  </si>
  <si>
    <t>Унифлекс ЭКП сл. серый</t>
  </si>
  <si>
    <t>Мастика битумная изоляционная</t>
  </si>
  <si>
    <t>ведро 20 л (16 кг)</t>
  </si>
  <si>
    <t>Мастика гидроизоляционная ISOBOX</t>
  </si>
  <si>
    <t>ведро 22 кг</t>
  </si>
  <si>
    <t xml:space="preserve"> -20/+40</t>
  </si>
  <si>
    <t>Мастика битумно-резиновая AquaMast</t>
  </si>
  <si>
    <t>ведро 18 кг</t>
  </si>
  <si>
    <t>Мастика кровельная ISOBOX</t>
  </si>
  <si>
    <t>Праймер битумный ISOBOX</t>
  </si>
  <si>
    <t xml:space="preserve"> ведро 24 л (18 кг)</t>
  </si>
  <si>
    <t>Праймер битумный ИМПЕРИАЛ</t>
  </si>
  <si>
    <t xml:space="preserve"> ведро 13 л</t>
  </si>
  <si>
    <t>Цена руб/м2,                    с НДС вход</t>
  </si>
  <si>
    <t>ООО "ЦЕНТР-ТИМ"   Платонов Иван 89536104242  centrtim57@mail.ru  21/01/19</t>
  </si>
  <si>
    <t>ООО "ЦЕНТР-ТИМ"   Платонов Иван 89536104242  centrtim57@mail.ru   21/01/19</t>
  </si>
  <si>
    <r>
      <rPr>
        <b/>
        <sz val="10"/>
        <color theme="1"/>
        <rFont val="Palatino Linotype"/>
        <family val="1"/>
        <charset val="204"/>
      </rPr>
      <t>ООО "ЦЕНТР-ТИМ"</t>
    </r>
    <r>
      <rPr>
        <sz val="10"/>
        <color theme="1"/>
        <rFont val="Palatino Linotype"/>
        <family val="1"/>
        <charset val="204"/>
      </rPr>
      <t xml:space="preserve">   89536104242 Платонов Иван</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</si>
  <si>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/01/18</t>
    </r>
  </si>
  <si>
    <t>2019 год</t>
  </si>
  <si>
    <t>Андреев Дмитрий 8 919 263 06 07</t>
  </si>
  <si>
    <t>Цены</t>
  </si>
  <si>
    <t>ВИД</t>
  </si>
  <si>
    <t>мешка</t>
  </si>
  <si>
    <t>ПРОИЗВОДИТЕЛЬ</t>
  </si>
  <si>
    <t>МАРКА</t>
  </si>
  <si>
    <t xml:space="preserve">по ГОСТ 31108-2003    </t>
  </si>
  <si>
    <t>(ГОСТ 10178-85)</t>
  </si>
  <si>
    <t>ВЕС</t>
  </si>
  <si>
    <t>Цена</t>
  </si>
  <si>
    <t>С ДОСТАВКОЙ</t>
  </si>
  <si>
    <r>
      <t xml:space="preserve">   Тула</t>
    </r>
    <r>
      <rPr>
        <sz val="14"/>
        <color theme="1"/>
        <rFont val="Times New Roman"/>
        <family val="1"/>
        <charset val="204"/>
      </rPr>
      <t>Цемент</t>
    </r>
  </si>
  <si>
    <t xml:space="preserve">(Ясногорский завод </t>
  </si>
  <si>
    <t>строительных материалов</t>
  </si>
  <si>
    <t>- ХайдельбергЦемент)</t>
  </si>
  <si>
    <t>Тульская обл, г. Ясногорск</t>
  </si>
  <si>
    <r>
      <t xml:space="preserve">      </t>
    </r>
    <r>
      <rPr>
        <b/>
        <sz val="14"/>
        <color theme="1"/>
        <rFont val="Times New Roman"/>
        <family val="1"/>
        <charset val="204"/>
      </rPr>
      <t xml:space="preserve">М-500 Д0       </t>
    </r>
  </si>
  <si>
    <t xml:space="preserve">(ЦЕМ I 42,5 Н) </t>
  </si>
  <si>
    <t>50 кг</t>
  </si>
  <si>
    <t xml:space="preserve"> </t>
  </si>
  <si>
    <t>25 кг</t>
  </si>
  <si>
    <t xml:space="preserve">   </t>
  </si>
  <si>
    <r>
      <t xml:space="preserve">  «</t>
    </r>
    <r>
      <rPr>
        <b/>
        <sz val="14"/>
        <color theme="1"/>
        <rFont val="Times New Roman"/>
        <family val="1"/>
        <charset val="204"/>
      </rPr>
      <t>Себряков</t>
    </r>
    <r>
      <rPr>
        <sz val="14"/>
        <color theme="1"/>
        <rFont val="Times New Roman"/>
        <family val="1"/>
        <charset val="204"/>
      </rPr>
      <t xml:space="preserve">Цемент» </t>
    </r>
  </si>
  <si>
    <t>г. Михайловка,  Волгогр. обл.</t>
  </si>
  <si>
    <r>
      <t xml:space="preserve">      </t>
    </r>
    <r>
      <rPr>
        <b/>
        <sz val="14"/>
        <color theme="1"/>
        <rFont val="Times New Roman"/>
        <family val="1"/>
        <charset val="204"/>
      </rPr>
      <t xml:space="preserve">М-500 Д20        </t>
    </r>
  </si>
  <si>
    <t xml:space="preserve">  (ЦЕМ II/А –Ш 42,5Н)</t>
  </si>
  <si>
    <t>50 кг.</t>
  </si>
  <si>
    <t xml:space="preserve">  </t>
  </si>
  <si>
    <r>
      <t>«</t>
    </r>
    <r>
      <rPr>
        <b/>
        <sz val="14"/>
        <color theme="1"/>
        <rFont val="Times New Roman"/>
        <family val="1"/>
        <charset val="204"/>
      </rPr>
      <t>ЕВРОЦЕМЕНТ</t>
    </r>
    <r>
      <rPr>
        <sz val="14"/>
        <color theme="1"/>
        <rFont val="Times New Roman"/>
        <family val="1"/>
        <charset val="204"/>
      </rPr>
      <t xml:space="preserve"> груп»  </t>
    </r>
  </si>
  <si>
    <t xml:space="preserve">г. Липецк                      </t>
  </si>
  <si>
    <t xml:space="preserve">      </t>
  </si>
  <si>
    <t xml:space="preserve">    М-500 Д20 </t>
  </si>
  <si>
    <t xml:space="preserve">     </t>
  </si>
  <si>
    <t xml:space="preserve">    М-400 ШПЦ </t>
  </si>
  <si>
    <t>Артикул</t>
  </si>
  <si>
    <t>Номенклатура, Упаковка</t>
  </si>
  <si>
    <t>RUB</t>
  </si>
  <si>
    <t>Гидроизоляция Кнауф Флехендихт без битума 5 кг, шт</t>
  </si>
  <si>
    <t>Гипсокартон ГКЛВлаг.-Н2-УК 12,5 мм (3 м2)(Кнауф) (52шт), шт</t>
  </si>
  <si>
    <t>Гипсокартон ГКЛВлаг.-Н2-УК 9,5 мм (3 м2)(Кнауф) (68шт), шт</t>
  </si>
  <si>
    <t>Грунтовка глубокого проникновения Тифенгрунт 10 л (36), шт</t>
  </si>
  <si>
    <t>Кнауф-Трибон 30 кг уцен, меш.</t>
  </si>
  <si>
    <t>Коттеджная смесь 25 кг, шт</t>
  </si>
  <si>
    <t>Манжета настенная, шт</t>
  </si>
  <si>
    <t>Миттельгрунд 10 кг (36), шт</t>
  </si>
  <si>
    <t>МУЛЬТИГРУНД  F 10 кг, шт</t>
  </si>
  <si>
    <t>МУЛЬТИГРУНД  F 5 кг, шт</t>
  </si>
  <si>
    <t>Подвес прямой для ПП 60х27 мм Кнауф, шт</t>
  </si>
  <si>
    <t>Профиль ПС 75х50 Кнауф, шт</t>
  </si>
  <si>
    <t>Ротбанд Паста Профи 18кг, шт</t>
  </si>
  <si>
    <t>Ротбанд Паста Профи 5кг, шт</t>
  </si>
  <si>
    <t>Стяжка цементная легкая Кнауф-УБО 25 кг, шт</t>
  </si>
  <si>
    <t>Угол внешний 140х140мм, шт</t>
  </si>
  <si>
    <t>Угол внутренний 140х140мм, шт</t>
  </si>
  <si>
    <t>ХП Старт 25 кг (48), меш.</t>
  </si>
  <si>
    <t>Шпаклевка полимерная финишная Полимер Финиш 20 кг (48) Кнауф, меш.</t>
  </si>
  <si>
    <t>Шпаклевка Ротбанд Финиш 25 кг (45), меш.</t>
  </si>
  <si>
    <t>Шпаклевка финишная гипсова Сатенгипс 25 кг (45), меш.</t>
  </si>
  <si>
    <t>Шпатлевка "Унифлот"  5кг, шт</t>
  </si>
  <si>
    <t>Шпатлёвка Фугенфюллер (Кнауф) 10 кг , шт</t>
  </si>
  <si>
    <t>Штукатурка Диамант Короед 1,5 25кг (36), шт</t>
  </si>
  <si>
    <t>Штукатурка Диамант Короед 2,5 25кг, шт</t>
  </si>
  <si>
    <t>Штукатурка Ротбанд (Кнауф) 10 кг, шт</t>
  </si>
  <si>
    <t>Элементы пола 20х600х1200 (108), шт</t>
  </si>
  <si>
    <t>Гипсокартон</t>
  </si>
  <si>
    <t>Гипсокартон Влагоогнестойкий кнауф (ГСП DFH2 ПЛУК) 1200х2500х12,5 (52шт), шт</t>
  </si>
  <si>
    <t>Гипсоволокно ГВЛВлаг.-А-ФК 2500х1200х10 (50), шт</t>
  </si>
  <si>
    <t>Гипсоволокно ГВЛВлаг.-А-ФК 2500х1200х12,5 (40), шт</t>
  </si>
  <si>
    <t>Гипсокартон ГКЛ-А-УК  9,5 мм (3 м2) (Кнауф), лист</t>
  </si>
  <si>
    <t>Гипсокартон ГКЛ-А-УК 12,5 мм (3 м2)(Кнауф) (52), лист</t>
  </si>
  <si>
    <t>Профиль</t>
  </si>
  <si>
    <t>Профиль ПН 28х27 (Кнауф) 0,6, шт</t>
  </si>
  <si>
    <t>Профиль ПП 60х27 Кнауф 0,6  , шт</t>
  </si>
  <si>
    <t>Профиль ПС 100х50 Кнауф  0,6, шт</t>
  </si>
  <si>
    <t>Шпатлевка "Унифлот" 25кг, шт</t>
  </si>
  <si>
    <t>Шпатлёвка гипсовая ХП Финиш (25 кг) уцен, меш.</t>
  </si>
  <si>
    <t>Штукатурка Гольбанд (Кнауф) 30 кг, меш.</t>
  </si>
  <si>
    <t>Штукатурка Ротбанд (Кнауф) 30 кг, меш.</t>
  </si>
  <si>
    <t xml:space="preserve">Плиты </t>
  </si>
  <si>
    <t xml:space="preserve">розница </t>
  </si>
  <si>
    <t>опт</t>
  </si>
  <si>
    <t>ООО "ЦЕНТР-ТИМ"   Платонов Иван 89536104242  centrtim57@mail.ru  15/03/19</t>
  </si>
  <si>
    <t>ед изм</t>
  </si>
  <si>
    <t>цена</t>
  </si>
  <si>
    <t xml:space="preserve"> упак</t>
  </si>
  <si>
    <t>упак</t>
  </si>
  <si>
    <t xml:space="preserve">рул  </t>
  </si>
  <si>
    <t xml:space="preserve">рул </t>
  </si>
  <si>
    <t>цена розница</t>
  </si>
  <si>
    <t xml:space="preserve">Мин.вата УРСА Terra 34 PN PRO 1000х610х50 (6,10 м2, 0,305 м3, 10 шт)  </t>
  </si>
  <si>
    <t xml:space="preserve"> Теплоизоляция Урса Терра 34 PN 1250х610х100 (3,81 м2/0,381 м3/5 шт) </t>
  </si>
  <si>
    <t xml:space="preserve"> Теплоизоляция Урса Терра 35 QN Скатная крыша 3900х1200х150 (4,68 м2/0,702 м3/1шт)</t>
  </si>
  <si>
    <t xml:space="preserve"> Теплоизоляция Урса М-11 10000х1200х100 (12 м2/1,2 м3/1 шт) </t>
  </si>
  <si>
    <t xml:space="preserve">Теплоизоляция Урса М-11 10000х1200х50 (24 м2/1,2 м3/2 шт) </t>
  </si>
  <si>
    <t xml:space="preserve"> Теплоизоляция Урса Универсальные плиты 1250х600х50 (7,5м2/0,375м3/10шт)  </t>
  </si>
  <si>
    <t xml:space="preserve"> KNAUFINSULATION АкустикиKNAUF(Плита) AS50х610х1230 (12м2, 0,6м3, 16 шт), </t>
  </si>
  <si>
    <t xml:space="preserve">Knauf ECOROLL  (Рулон) TR 044 50х1220х8200мм*2  (20 м2, 1м3) уп. 5шт, </t>
  </si>
  <si>
    <t xml:space="preserve">Knauf ECOROLL (Плита) TS 040 100х610х1230мм (6м2, 0,6м3, 8 плит) </t>
  </si>
  <si>
    <t>Knauf ECOROLL Ecoroll (Плита) TS 040 50х610х1230мм (12 м2, 0,6м3, 16 шт)</t>
  </si>
  <si>
    <t>Knauf ТеплоКНАУФ ДляКОТТЕДЖА TS037 Aquastatik 50х610х1230 (12м2, 0,6м3) уп.7шт</t>
  </si>
  <si>
    <t>Knauf ТеплоКНАУФ ДляКОТТЕДЖА+TS037Aquastatik100х610х1230 (6м2, 0,6м3)</t>
  </si>
  <si>
    <t>Действует с 09.01.2019г.</t>
  </si>
  <si>
    <t>Наименование
DiROCK</t>
  </si>
  <si>
    <t>Область применения</t>
  </si>
  <si>
    <t>Габариты, мм</t>
  </si>
  <si>
    <t>Упаковка</t>
  </si>
  <si>
    <t>Базовая
Оптовая цена</t>
  </si>
  <si>
    <t>Рекомендуемая
розничная цена</t>
  </si>
  <si>
    <t>Длина</t>
  </si>
  <si>
    <t>Ширина</t>
  </si>
  <si>
    <t>Толщина</t>
  </si>
  <si>
    <t>Упак</t>
  </si>
  <si>
    <r>
      <t xml:space="preserve">АЛЯСКА
</t>
    </r>
    <r>
      <rPr>
        <sz val="9"/>
        <color rgb="FF000000"/>
        <rFont val="Tahoma"/>
        <family val="2"/>
        <charset val="204"/>
      </rPr>
      <t>плотность 32 кг/м3</t>
    </r>
    <r>
      <rPr>
        <sz val="6"/>
        <color rgb="FF000000"/>
        <rFont val="Tahoma"/>
        <family val="2"/>
        <charset val="204"/>
      </rPr>
      <t xml:space="preserve">
(толщ. 50-200мм, кратно 10мм)</t>
    </r>
  </si>
  <si>
    <t>В качестве теплоизоляции ненагружаемых легких стен и кровельных конструкций, включая вертикальные и наклонные конструкции всех типов зданий, в том числе в зданиях малоэтажного типа и коттеджах, мансардных помещений и перекрытий над техническим подпольем.
В качестве внутреннего теплоизоляционного слоя при выполнении двухслойной изоляции в фасадных системах с воздушным зазором ограждающих конструкций зданий различного назначения</t>
  </si>
  <si>
    <r>
      <t xml:space="preserve">ЛАЙТ
</t>
    </r>
    <r>
      <rPr>
        <sz val="9"/>
        <color rgb="FF000000"/>
        <rFont val="Tahoma"/>
        <family val="2"/>
        <charset val="204"/>
      </rPr>
      <t>плотность 35 кг/м3</t>
    </r>
    <r>
      <rPr>
        <sz val="6"/>
        <color rgb="FF000000"/>
        <rFont val="Tahoma"/>
        <family val="2"/>
        <charset val="204"/>
      </rPr>
      <t xml:space="preserve">
(толщ. 50-200мм, кратно 10мм)</t>
    </r>
  </si>
  <si>
    <r>
      <t xml:space="preserve">АКУСТИК
</t>
    </r>
    <r>
      <rPr>
        <sz val="9"/>
        <rFont val="Tahoma"/>
        <family val="2"/>
        <charset val="204"/>
      </rPr>
      <t>плотность 45 кг/м3</t>
    </r>
    <r>
      <rPr>
        <sz val="10"/>
        <rFont val="Tahoma"/>
        <family val="2"/>
        <charset val="204"/>
      </rPr>
      <t xml:space="preserve">
</t>
    </r>
    <r>
      <rPr>
        <sz val="6"/>
        <rFont val="Tahoma"/>
        <family val="2"/>
        <charset val="204"/>
      </rPr>
      <t>(толщ. 50-200мм, кратно 10мм)</t>
    </r>
  </si>
  <si>
    <t>В качестве звукоизоляци и теплоизоляции ненагружаемых легких стен и кровельных конструкций, включая вертикальные и наклонные конструкции всех типов зданий, в том числе в зданиях малоэтажного типа и коттеджах, мансардных помещений и перекрытий над техническим подпольем</t>
  </si>
  <si>
    <r>
      <t xml:space="preserve">АКУСТИК ПРО
</t>
    </r>
    <r>
      <rPr>
        <sz val="9"/>
        <rFont val="Tahoma"/>
        <family val="2"/>
        <charset val="204"/>
      </rPr>
      <t>плотность 60 кг/м3</t>
    </r>
    <r>
      <rPr>
        <sz val="10"/>
        <rFont val="Tahoma"/>
        <family val="2"/>
        <charset val="204"/>
      </rPr>
      <t xml:space="preserve">
</t>
    </r>
    <r>
      <rPr>
        <sz val="6"/>
        <rFont val="Tahoma"/>
        <family val="2"/>
        <charset val="204"/>
      </rPr>
      <t>(толщ. 30-200мм, кратно 10мм)</t>
    </r>
  </si>
  <si>
    <r>
      <t xml:space="preserve">КАВИТИ
</t>
    </r>
    <r>
      <rPr>
        <sz val="9"/>
        <rFont val="Tahoma"/>
        <family val="2"/>
        <charset val="204"/>
      </rPr>
      <t>плотность 50 кг/м3</t>
    </r>
    <r>
      <rPr>
        <b/>
        <sz val="10"/>
        <rFont val="Tahoma"/>
        <family val="2"/>
        <charset val="204"/>
      </rPr>
      <t xml:space="preserve">
</t>
    </r>
    <r>
      <rPr>
        <sz val="6"/>
        <rFont val="Tahoma"/>
        <family val="2"/>
        <charset val="204"/>
      </rPr>
      <t>(толщ. 50-200мм, кратно 10мм)</t>
    </r>
  </si>
  <si>
    <t>В качестве теплоизоляции ненагружаемых легких стен и кровельных конструкций, включая вертикальные и наклонные конструкции всех типов зданий, в т.ч. в зданиях малоэтажного типа и коттеджах, мансардных помещений и перекрытий над техническим подпольем. Также в качестве среднего теплоизоляционного слоя в многослойных наружных стенах зданий и сооружений различного назначения</t>
  </si>
  <si>
    <r>
      <t xml:space="preserve">ФАСАД 145
</t>
    </r>
    <r>
      <rPr>
        <sz val="9"/>
        <rFont val="Tahoma"/>
        <family val="2"/>
        <charset val="204"/>
      </rPr>
      <t>плотность 145 кг/м3</t>
    </r>
    <r>
      <rPr>
        <b/>
        <sz val="10"/>
        <rFont val="Tahoma"/>
        <family val="2"/>
        <charset val="204"/>
      </rPr>
      <t xml:space="preserve">
</t>
    </r>
    <r>
      <rPr>
        <sz val="6"/>
        <rFont val="Tahoma"/>
        <family val="2"/>
        <charset val="204"/>
      </rPr>
      <t>(толщ. 50-150мм, кратно 10мм)</t>
    </r>
  </si>
  <si>
    <t>В качестве теплоизоляционного слоя фасадных систем с тонким и толстым наружным штукатурным слоем.</t>
  </si>
  <si>
    <r>
      <t xml:space="preserve">ФАСАД СТАНДАРТ
</t>
    </r>
    <r>
      <rPr>
        <sz val="9"/>
        <rFont val="Tahoma"/>
        <family val="2"/>
        <charset val="204"/>
      </rPr>
      <t>плотность 130 кг/м3</t>
    </r>
    <r>
      <rPr>
        <b/>
        <sz val="10"/>
        <rFont val="Tahoma"/>
        <family val="2"/>
        <charset val="204"/>
      </rPr>
      <t xml:space="preserve">
</t>
    </r>
    <r>
      <rPr>
        <sz val="6"/>
        <rFont val="Tahoma"/>
        <family val="2"/>
        <charset val="204"/>
      </rPr>
      <t>(толщ. 50-150мм, кратно 10мм)</t>
    </r>
  </si>
  <si>
    <r>
      <t xml:space="preserve">ФАСАД ОПТИМА
</t>
    </r>
    <r>
      <rPr>
        <sz val="9"/>
        <rFont val="Tahoma"/>
        <family val="2"/>
        <charset val="204"/>
      </rPr>
      <t>плотность 110 кг/м3</t>
    </r>
    <r>
      <rPr>
        <b/>
        <sz val="10"/>
        <rFont val="Tahoma"/>
        <family val="2"/>
        <charset val="204"/>
      </rPr>
      <t xml:space="preserve">
</t>
    </r>
    <r>
      <rPr>
        <sz val="6"/>
        <rFont val="Tahoma"/>
        <family val="2"/>
        <charset val="204"/>
      </rPr>
      <t>(толщ. 50-150мм, кратно 10мм)</t>
    </r>
  </si>
  <si>
    <t>В качестве теплоизоляционного слоя фасадных систем с тонким наружным штукатурным слоем</t>
  </si>
  <si>
    <r>
      <t xml:space="preserve">ФАСАД 100
</t>
    </r>
    <r>
      <rPr>
        <sz val="9"/>
        <rFont val="Tahoma"/>
        <family val="2"/>
        <charset val="204"/>
      </rPr>
      <t>плотность 100 кг/м3</t>
    </r>
    <r>
      <rPr>
        <b/>
        <sz val="10"/>
        <rFont val="Tahoma"/>
        <family val="2"/>
        <charset val="204"/>
      </rPr>
      <t xml:space="preserve">
</t>
    </r>
    <r>
      <rPr>
        <sz val="6"/>
        <rFont val="Tahoma"/>
        <family val="2"/>
        <charset val="204"/>
      </rPr>
      <t>(толщ. 50-150мм, кратно 10мм)</t>
    </r>
  </si>
  <si>
    <r>
      <t xml:space="preserve">ВЕНТ ФАСАД В
</t>
    </r>
    <r>
      <rPr>
        <sz val="9"/>
        <rFont val="Tahoma"/>
        <family val="2"/>
        <charset val="204"/>
      </rPr>
      <t>плотность 90 кг/м3</t>
    </r>
    <r>
      <rPr>
        <sz val="10"/>
        <rFont val="Tahoma"/>
        <family val="2"/>
        <charset val="204"/>
      </rPr>
      <t xml:space="preserve">
</t>
    </r>
    <r>
      <rPr>
        <sz val="6"/>
        <rFont val="Tahoma"/>
        <family val="2"/>
        <charset val="204"/>
      </rPr>
      <t>(толщ. 50-200мм, кратно 10мм)</t>
    </r>
  </si>
  <si>
    <t>В качестве теплоизоляции в фасадных системах с воздушным зазором ограждающих конструкций зданий различного назначения, применяются для создания наружного теплоизоляционного слоя при выполнении однослойной и двухслойной изоляциии</t>
  </si>
  <si>
    <r>
      <t xml:space="preserve">ВЕНТ ФАСАД
</t>
    </r>
    <r>
      <rPr>
        <sz val="9"/>
        <rFont val="Tahoma"/>
        <family val="2"/>
        <charset val="204"/>
      </rPr>
      <t>плотность 80 кг/м3</t>
    </r>
    <r>
      <rPr>
        <b/>
        <sz val="10"/>
        <rFont val="Tahoma"/>
        <family val="2"/>
        <charset val="204"/>
      </rPr>
      <t xml:space="preserve">
</t>
    </r>
    <r>
      <rPr>
        <sz val="6"/>
        <rFont val="Tahoma"/>
        <family val="2"/>
        <charset val="204"/>
      </rPr>
      <t>(толщ. 50-200мм, кратно 10мм)</t>
    </r>
  </si>
  <si>
    <t>В качестве теплоизоляции в фасадных системах с воздушным зазором ограждающих конструкций зданий различного назначения, при выполнении однослойной изоляции</t>
  </si>
  <si>
    <r>
      <t xml:space="preserve">ВЕНТ ФАСАД Н
</t>
    </r>
    <r>
      <rPr>
        <sz val="9"/>
        <rFont val="Tahoma"/>
        <family val="2"/>
        <charset val="204"/>
      </rPr>
      <t>плотность 40 кг/м3</t>
    </r>
    <r>
      <rPr>
        <b/>
        <sz val="10"/>
        <rFont val="Tahoma"/>
        <family val="2"/>
        <charset val="204"/>
      </rPr>
      <t xml:space="preserve">
</t>
    </r>
    <r>
      <rPr>
        <sz val="6"/>
        <rFont val="Tahoma"/>
        <family val="2"/>
        <charset val="204"/>
      </rPr>
      <t>(толщ. 50-200мм, кратно 10мм)</t>
    </r>
  </si>
  <si>
    <t>В качестве теплоизоляции в фасадных системах с воздушным зазором ограждающих конструкций зданий различного назначения, применяются для создания внутреннего теплоизоляционного слоя при выполнении двухслойной изоляции</t>
  </si>
  <si>
    <r>
      <t xml:space="preserve">РУФ
</t>
    </r>
    <r>
      <rPr>
        <sz val="9"/>
        <rFont val="Tahoma"/>
        <family val="2"/>
        <charset val="204"/>
      </rPr>
      <t>плотность 140 кг/м3</t>
    </r>
    <r>
      <rPr>
        <b/>
        <sz val="10"/>
        <rFont val="Tahoma"/>
        <family val="2"/>
        <charset val="204"/>
      </rPr>
      <t xml:space="preserve">
</t>
    </r>
    <r>
      <rPr>
        <sz val="6"/>
        <rFont val="Tahoma"/>
        <family val="2"/>
        <charset val="204"/>
      </rPr>
      <t>(толщ. 50-200мм, кратно 10мм)</t>
    </r>
  </si>
  <si>
    <t>В качестве однослойной теплоизоляции при выполнении тепловой изоляции в покрытиях с устройством защитного слоя при нормативных значениях нагрузок на покрытие свыше 3 кПа.</t>
  </si>
  <si>
    <r>
      <t xml:space="preserve">РУФ Н
</t>
    </r>
    <r>
      <rPr>
        <sz val="9"/>
        <rFont val="Tahoma"/>
        <family val="2"/>
        <charset val="204"/>
      </rPr>
      <t>плотность 115 кг/м3</t>
    </r>
    <r>
      <rPr>
        <b/>
        <sz val="10"/>
        <rFont val="Tahoma"/>
        <family val="2"/>
        <charset val="204"/>
      </rPr>
      <t xml:space="preserve">
</t>
    </r>
    <r>
      <rPr>
        <sz val="6"/>
        <rFont val="Tahoma"/>
        <family val="2"/>
        <charset val="204"/>
      </rPr>
      <t>(толщ. 50-200мм, кратно 10мм)</t>
    </r>
  </si>
  <si>
    <t>Применяется для создания нижнего теплоизоляционного слоя при выполнении комбинированного решения изоляции покрытия</t>
  </si>
  <si>
    <r>
      <t xml:space="preserve">РУФ Н ОПТИМА
</t>
    </r>
    <r>
      <rPr>
        <sz val="9"/>
        <rFont val="Tahoma"/>
        <family val="2"/>
        <charset val="204"/>
      </rPr>
      <t>плотность 100 кг/м3</t>
    </r>
    <r>
      <rPr>
        <b/>
        <sz val="10"/>
        <rFont val="Tahoma"/>
        <family val="2"/>
        <charset val="204"/>
      </rPr>
      <t xml:space="preserve">
</t>
    </r>
    <r>
      <rPr>
        <sz val="6"/>
        <rFont val="Tahoma"/>
        <family val="2"/>
        <charset val="204"/>
      </rPr>
      <t>(толщ. 50-200мм, кратно 10мм)</t>
    </r>
  </si>
  <si>
    <r>
      <t xml:space="preserve">РУФ В
</t>
    </r>
    <r>
      <rPr>
        <sz val="9"/>
        <rFont val="Tahoma"/>
        <family val="2"/>
        <charset val="204"/>
      </rPr>
      <t>плотность 190 кг/м3</t>
    </r>
  </si>
  <si>
    <t>Применяется для создания верхнего теплоизоляционного слоя при выполнении комбинированного решения изоляции покрытия</t>
  </si>
  <si>
    <r>
      <t xml:space="preserve">РУФ В ОПТИМА
</t>
    </r>
    <r>
      <rPr>
        <sz val="9"/>
        <rFont val="Tahoma"/>
        <family val="2"/>
        <charset val="204"/>
      </rPr>
      <t>плотность 175 кг/м3</t>
    </r>
  </si>
  <si>
    <r>
      <t xml:space="preserve">РУФ В ПРОФИТ
</t>
    </r>
    <r>
      <rPr>
        <sz val="9"/>
        <rFont val="Tahoma"/>
        <family val="2"/>
        <charset val="204"/>
      </rPr>
      <t>плотность 160 кг/м3</t>
    </r>
  </si>
  <si>
    <r>
      <t xml:space="preserve">ФЛОР
</t>
    </r>
    <r>
      <rPr>
        <sz val="9"/>
        <rFont val="Tahoma"/>
        <family val="2"/>
        <charset val="204"/>
      </rPr>
      <t>плотность 170 кг/м3</t>
    </r>
    <r>
      <rPr>
        <b/>
        <sz val="10"/>
        <rFont val="Tahoma"/>
        <family val="2"/>
        <charset val="204"/>
      </rPr>
      <t xml:space="preserve">
</t>
    </r>
    <r>
      <rPr>
        <sz val="6"/>
        <rFont val="Tahoma"/>
        <family val="2"/>
        <charset val="204"/>
      </rPr>
      <t>(толщ. 50-150мм, кратно 10мм)</t>
    </r>
  </si>
  <si>
    <t>В качестве теплозвукоизоляционного слоя в полах по грунту и «плавающих» полах с устройством армированной бетонной стяжки в жилищном, гражданском и промышленном строительстве в полах с нормативным значением нагрузок свыше 5,0 кПа</t>
  </si>
  <si>
    <r>
      <t xml:space="preserve">ФЛОР ОПТИМА
</t>
    </r>
    <r>
      <rPr>
        <sz val="9"/>
        <rFont val="Tahoma"/>
        <family val="2"/>
        <charset val="204"/>
      </rPr>
      <t>плотность 110 кг/м3</t>
    </r>
    <r>
      <rPr>
        <sz val="6"/>
        <rFont val="Tahoma"/>
        <family val="2"/>
        <charset val="204"/>
      </rPr>
      <t xml:space="preserve">
(толщ. 50-150мм, кратно 10мм)</t>
    </r>
  </si>
  <si>
    <t>В качестве теплозвукоизоляционного слоя в полах по грунту и «плавающих» полах с устройством армированной бетонной стяжки в жилищном, гражданском и промышленном строительстве в полах с нормативным значением нагрузок до 3,0 кПа</t>
  </si>
  <si>
    <r>
      <t xml:space="preserve">БЕТОН ЭЛЕМЕНТ
</t>
    </r>
    <r>
      <rPr>
        <sz val="9"/>
        <rFont val="Tahoma"/>
        <family val="2"/>
        <charset val="204"/>
      </rPr>
      <t>плотность 100 кг/м3</t>
    </r>
    <r>
      <rPr>
        <b/>
        <sz val="10"/>
        <rFont val="Tahoma"/>
        <family val="2"/>
        <charset val="204"/>
      </rPr>
      <t xml:space="preserve">
</t>
    </r>
    <r>
      <rPr>
        <sz val="6"/>
        <rFont val="Tahoma"/>
        <family val="2"/>
        <charset val="204"/>
      </rPr>
      <t>(толщ. 50-170мм, кратно 10мм)</t>
    </r>
  </si>
  <si>
    <t>Применяется в качестве среднего теплоизоляционного слоя в трехслойных бетонных и железобетонных стеновых панелях</t>
  </si>
  <si>
    <r>
      <t xml:space="preserve">ОГНЕБАРЬЕР
</t>
    </r>
    <r>
      <rPr>
        <sz val="9"/>
        <rFont val="Tahoma"/>
        <family val="2"/>
        <charset val="204"/>
      </rPr>
      <t>плотность 165 кг/м3</t>
    </r>
    <r>
      <rPr>
        <b/>
        <sz val="10"/>
        <rFont val="Tahoma"/>
        <family val="2"/>
        <charset val="204"/>
      </rPr>
      <t xml:space="preserve">
</t>
    </r>
    <r>
      <rPr>
        <sz val="6"/>
        <rFont val="Tahoma"/>
        <family val="2"/>
        <charset val="204"/>
      </rPr>
      <t>(толщ. 50-170мм, кратно 10мм)</t>
    </r>
  </si>
  <si>
    <t>Применяется для увеличения пределов огнестойкости строительных и инженерных конструкций в качестве огнезащитного материала: теплоизоляции наружных ограждающих конструкций, перекрытий в жилищно-гражданском и промышленном строительстве, в качестве противопожарной защиты стальных конструкций, в качестве среднего слоя в железобетонных огнезащитных конструкциях. Для тепловой изоляции печей, резервуаров, промышленного оборудования и других объектов с повышенным температурным режимом, при температуре изолируемой поверхности от -60 до +700°С</t>
  </si>
  <si>
    <r>
      <t xml:space="preserve">ОГНЕБАРЬЕР ОПТИМА
</t>
    </r>
    <r>
      <rPr>
        <sz val="9"/>
        <rFont val="Tahoma"/>
        <family val="2"/>
        <charset val="204"/>
      </rPr>
      <t>плотность 130 кг/м3</t>
    </r>
    <r>
      <rPr>
        <b/>
        <sz val="10"/>
        <rFont val="Tahoma"/>
        <family val="2"/>
        <charset val="204"/>
      </rPr>
      <t xml:space="preserve">
</t>
    </r>
    <r>
      <rPr>
        <sz val="6"/>
        <rFont val="Tahoma"/>
        <family val="2"/>
        <charset val="204"/>
      </rPr>
      <t>(толщ. 50-170мм, кратно 10мм)</t>
    </r>
  </si>
  <si>
    <r>
      <t xml:space="preserve">БЛОК
</t>
    </r>
    <r>
      <rPr>
        <sz val="9"/>
        <rFont val="Tahoma"/>
        <family val="2"/>
        <charset val="204"/>
      </rPr>
      <t>плотность 60 кг/м3</t>
    </r>
    <r>
      <rPr>
        <b/>
        <sz val="10"/>
        <rFont val="Tahoma"/>
        <family val="2"/>
        <charset val="204"/>
      </rPr>
      <t xml:space="preserve">
</t>
    </r>
    <r>
      <rPr>
        <sz val="6"/>
        <rFont val="Tahoma"/>
        <family val="2"/>
        <charset val="204"/>
      </rPr>
      <t>(толщ. 50-200мм, кратно 10мм)</t>
    </r>
  </si>
  <si>
    <t>Рекомендованы для применения в качестве тепло-, звукоизоляции различных типов слоистых кладок, каркасных (в т.ч. наружных) стен с различными видами отделки, в т.ч. сайдингом. А также в качестве 1-го (внутреннего) теплоизоляционного слоя в НВФ системах при двухслойной схеме утепления</t>
  </si>
  <si>
    <t>Товары (работы, услуги)</t>
  </si>
  <si>
    <t>Ед.</t>
  </si>
  <si>
    <t>ДВП 2440x1220x2,8 мм (2,98 м2)</t>
  </si>
  <si>
    <t>л.</t>
  </si>
  <si>
    <t>ДВП 2745x1700x3,2 мм (4,67 м2)</t>
  </si>
  <si>
    <t>ДСП 2440x1830x16 мм, Шатура, 1ый сорт (4,47 м2)</t>
  </si>
  <si>
    <t>ДСП 3500x1750x16 мм, Муром, 2ой сорт (6,12 м2)</t>
  </si>
  <si>
    <t>ОСП-3 Кроношпан 2500х1250х 9 (3,125 м2)</t>
  </si>
  <si>
    <t>ОСП-3 Кроношпан 2500х1250х12 (3,125 м2)</t>
  </si>
  <si>
    <t>ОСП-3 Кроношпан 2500х1250х15 (3,125 м2)</t>
  </si>
  <si>
    <t>ОСП-3 Ultralam 2500х1250х 6 (3,125 м2)</t>
  </si>
  <si>
    <t>ОСП-3 Ultralam 2500х1250х 8 (3,125 м2)</t>
  </si>
  <si>
    <t>Фанера 4/4 1525х1525х 4</t>
  </si>
  <si>
    <t>Фанера 4/4 1525х1525х 6</t>
  </si>
  <si>
    <t>Фанера 4/4 1525х1525х 8</t>
  </si>
  <si>
    <t>Фанера 4/4 1525х1525х10</t>
  </si>
  <si>
    <t>Фанера 4/4 1525х1525х12</t>
  </si>
  <si>
    <t>Фанера 4/4 1525х1525х15</t>
  </si>
  <si>
    <t>Фанера 4/4 1525х1525х18</t>
  </si>
  <si>
    <t>Фанера 4/4 1525х1525х21</t>
  </si>
  <si>
    <t>Теплоизоляция Paroc Extra 1200х600х50 (11,52 м2/0,576 м3/16 шт)</t>
  </si>
  <si>
    <t>Теплоизоляция Paroc Extra 1200х600х100 (5,76 м2/0,576 м3/8 шт)</t>
  </si>
  <si>
    <t>Теплоизоляция Paroc Extra 1200х600х150 (3,6 м2/0,54 м3/5 шт)</t>
  </si>
  <si>
    <t>Теплоизоляция Paroc InWall 1200х600х50 (8,64 м2/0,432 м3/12 шт)</t>
  </si>
  <si>
    <t>Теплоизоляция Paroc InWall 1200х600х100 (4,32 м2/0,432 м3/6 шт)</t>
  </si>
  <si>
    <t>Сотовый поликарбонат 3,5х12000х2100мм Rational, прозрачный</t>
  </si>
  <si>
    <t>Сотовый поликарбонат 4х12000х2100мм Rational, прозрачный</t>
  </si>
  <si>
    <t>Сотовый поликарбонат 6х12000х2100мм Rational, прозрачный</t>
  </si>
  <si>
    <t>Сотовый поликарбонат 8х12000х2100мм Rational, прозрачный</t>
  </si>
  <si>
    <t>Сотовый поликарбонат 10х12000х2100мм Rational, прозрачный</t>
  </si>
  <si>
    <t>Сотовый поликарбонат 4х12000х2100мм Rational, бирюза</t>
  </si>
  <si>
    <t>Сотовый поликарбонат 6х12000х2100мм Rational, бирюза</t>
  </si>
  <si>
    <t>Сотовый поликарбонат 4х12000х2100мм Rational, бронза</t>
  </si>
  <si>
    <t>Сотовый поликарбонат 6х12000х2100мм Rational, бронза</t>
  </si>
  <si>
    <t>Сотовый поликарбонат 8х12000х2100мм Rational, бронза</t>
  </si>
  <si>
    <t>Сотовый поликарбонат 4х12000х2100мм Rational, синий</t>
  </si>
  <si>
    <t>Сотовый поликарбонат 6х12000х2100мм Rational, синий</t>
  </si>
  <si>
    <t>Сотовый поликарбонат 8х12000х2100мм Rational, синий</t>
  </si>
  <si>
    <t>ед. измер.</t>
  </si>
  <si>
    <t>ТЕПЛОИЗОЛЯЦИЯ Paroc</t>
  </si>
  <si>
    <t>Гипрок Лайт 2500*1200*9,5</t>
  </si>
  <si>
    <t>Гипрок Оптима 2500*1200*12,5</t>
  </si>
  <si>
    <t>Гипрок Оптима 3000*1200*9,5</t>
  </si>
  <si>
    <t>Гипрок Аква Лайт 2500*1200*9,5</t>
  </si>
  <si>
    <t>Гипрок Аква Оптима 2500*1200*12,5</t>
  </si>
  <si>
    <t>Стронг 2500*1200*15</t>
  </si>
  <si>
    <t>Аква Стронг 2500*1200*15</t>
  </si>
  <si>
    <t>Огнестойкий УК 2500*1200*12,5</t>
  </si>
  <si>
    <t>Огнестойкий УК 3000*1200*12,5</t>
  </si>
  <si>
    <t>Огневлагостойкий УК 2500*1200*12,5</t>
  </si>
  <si>
    <t>Огневлагостойкий УК 3000*1200*12,5</t>
  </si>
  <si>
    <t>ВОДОСТОЧНАЯ СИСТЕМА ПРЯМОУГОЛЬНОГО и КРУГЛОГО СЕЧЕНИЯ</t>
  </si>
  <si>
    <t>НАИМЕНОВАНИЕ</t>
  </si>
  <si>
    <t>Ед. изм.</t>
  </si>
  <si>
    <t>Цена Розн.</t>
  </si>
  <si>
    <t>Цена Опт</t>
  </si>
  <si>
    <t>Желоб водосточный 120х86х3000 (ПЭ-8017)</t>
  </si>
  <si>
    <t>Заглушка желоба левая 120х86 (ПЭ-8017)</t>
  </si>
  <si>
    <t>Заглушка желоба правая 120х86 (ПЭ-8017)</t>
  </si>
  <si>
    <t>Колено трубы 76х102 (ПЭ-8017)</t>
  </si>
  <si>
    <t>Труба водосточная 76х102х3000+колено (ПЭ-8017)</t>
  </si>
  <si>
    <t>Труба водосточная 76х102х3000 (ПЭ-8017)</t>
  </si>
  <si>
    <t>Угол желоба внутренний 120х86 (ПЭ-02-8017)</t>
  </si>
  <si>
    <t>Угол желоба наружный 120х86 (ПЭ-02-8017)</t>
  </si>
  <si>
    <t>Держатель трубы 76х102 (ПЭ-8017)</t>
  </si>
  <si>
    <t>Держатель трубы 76х102 (ПЭ-9003)</t>
  </si>
  <si>
    <t>Желоб водосточный 120х86х3000 (ПЭ-9003)</t>
  </si>
  <si>
    <t>Заглушка желоба левая 120х86 (ПЭ-9003)</t>
  </si>
  <si>
    <t>Заглушка желоба правая 120х86 (ПЭ-9003)</t>
  </si>
  <si>
    <t>Колено трубы 76х102 (ПЭ-9003)</t>
  </si>
  <si>
    <t>Труба водосточная 76х102х3000 (ПЭ-9003)</t>
  </si>
  <si>
    <t>Труба водосточная 76х102х3000+колено (ПЭ-9003)</t>
  </si>
  <si>
    <t>Угол желоба внутренний 120х86 (ПЭ-9003)</t>
  </si>
  <si>
    <t>Угол желоба наружный 120х86 (ПЭ-9003)</t>
  </si>
  <si>
    <t>Воронка выпускная 76х102 белая</t>
  </si>
  <si>
    <t>Воронка выпускная 76х102 коричневая</t>
  </si>
  <si>
    <t>Держатель желоба карнизный 3D 120х86 белый</t>
  </si>
  <si>
    <t>Держатель желоба карнизный 3D 120х86 коричневый</t>
  </si>
  <si>
    <t>Держатель желоба 120х86 белый</t>
  </si>
  <si>
    <t>Держатель желоба 120х86 коричневый</t>
  </si>
  <si>
    <t>Воронка, 125/90, ПЭ 8017</t>
  </si>
  <si>
    <t>Желоб полукруглый, 125, 3м, ПЭ 8017/8017</t>
  </si>
  <si>
    <t>Заглушка желоба, 125, ПЭ 8017</t>
  </si>
  <si>
    <t>Колено 60гр, 90,  ПЭ 8017</t>
  </si>
  <si>
    <t>Колено стока, 90,  ПЭ 8017</t>
  </si>
  <si>
    <t>Кронштейн трубы 90,  ПЭ 8017</t>
  </si>
  <si>
    <t>Соединитель желоба, 125, ПЭ 8017</t>
  </si>
  <si>
    <t>Труба круглая соединит., 90, 1м,  ПЭ 8017</t>
  </si>
  <si>
    <t>Труба круглая, 90, 3м,  ПЭ 8017</t>
  </si>
  <si>
    <t>Угол желоба внешний, 90 гр.125, ПЭ 8017</t>
  </si>
  <si>
    <t>Угол желоба внутренний, 90 гр.125, ПЭ 8017</t>
  </si>
  <si>
    <t>Воронка, 125/90, ПЭ 9003</t>
  </si>
  <si>
    <t>Желоб полукруглый, 125, 3м, ПЭ 9003/9003</t>
  </si>
  <si>
    <t>Заглушка желоба, 125, ПЭ 9003</t>
  </si>
  <si>
    <t>Колено 60гр, 90,  ПЭ 9003</t>
  </si>
  <si>
    <t>Колено стока, 90,  ПЭ 9003</t>
  </si>
  <si>
    <t>Кронштейн трубы 90,  ПЭ 9003</t>
  </si>
  <si>
    <t>Соединитель желоба, 125, ПЭ 9003</t>
  </si>
  <si>
    <t>Труба круглая соединит., 90, 1м,  ПЭ 9003</t>
  </si>
  <si>
    <t>Труба круглая, 90, 3м,  ПЭ 9003</t>
  </si>
  <si>
    <t>Угол желоба внешний, 90 гр.125, ПЭ 9003</t>
  </si>
  <si>
    <t>Угол желоба внутренний, 90 гр.125, ПЭ 9003</t>
  </si>
  <si>
    <t>Крюк карнизный 3D, 125,  белый</t>
  </si>
  <si>
    <t>Крюк карнизный 3D, 125,  коричневый</t>
  </si>
  <si>
    <t>Крюк, 125х310, белый</t>
  </si>
  <si>
    <t>Крюк, 125х310, коричневый</t>
  </si>
  <si>
    <r>
      <rPr>
        <b/>
        <sz val="7"/>
        <rFont val="Arial"/>
        <family val="2"/>
      </rPr>
      <t>все цвета</t>
    </r>
  </si>
  <si>
    <r>
      <rPr>
        <b/>
        <sz val="7"/>
        <rFont val="Arial"/>
        <family val="2"/>
      </rPr>
      <t xml:space="preserve">1018
</t>
    </r>
    <r>
      <rPr>
        <b/>
        <sz val="7"/>
        <rFont val="Arial"/>
        <family val="2"/>
      </rPr>
      <t xml:space="preserve">2004
</t>
    </r>
    <r>
      <rPr>
        <b/>
        <sz val="7"/>
        <rFont val="Arial"/>
        <family val="2"/>
      </rPr>
      <t>3020</t>
    </r>
  </si>
  <si>
    <r>
      <rPr>
        <b/>
        <sz val="7"/>
        <rFont val="Arial"/>
        <family val="2"/>
      </rPr>
      <t>0.4</t>
    </r>
  </si>
  <si>
    <r>
      <rPr>
        <b/>
        <sz val="7"/>
        <rFont val="Arial"/>
        <family val="2"/>
      </rPr>
      <t>0.5</t>
    </r>
  </si>
  <si>
    <r>
      <rPr>
        <b/>
        <sz val="7"/>
        <rFont val="Arial"/>
        <family val="2"/>
      </rPr>
      <t xml:space="preserve">МЧ </t>
    </r>
    <r>
      <rPr>
        <b/>
        <i/>
        <sz val="7"/>
        <rFont val="Arial"/>
        <family val="2"/>
      </rPr>
      <t xml:space="preserve">МОНТЕРРЕЙ,
</t>
    </r>
    <r>
      <rPr>
        <b/>
        <i/>
        <sz val="7"/>
        <rFont val="Arial"/>
        <family val="2"/>
      </rPr>
      <t>CУПЕРМОНТЕРРЕЙ,МАКСИ</t>
    </r>
  </si>
  <si>
    <r>
      <rPr>
        <b/>
        <sz val="7"/>
        <rFont val="Arial"/>
        <family val="2"/>
      </rPr>
      <t xml:space="preserve">МЧ </t>
    </r>
    <r>
      <rPr>
        <b/>
        <i/>
        <sz val="7"/>
        <rFont val="Arial"/>
        <family val="2"/>
      </rPr>
      <t>РЕТРО</t>
    </r>
  </si>
  <si>
    <r>
      <rPr>
        <b/>
        <sz val="7"/>
        <rFont val="Arial"/>
        <family val="2"/>
      </rPr>
      <t xml:space="preserve">МЧ </t>
    </r>
    <r>
      <rPr>
        <b/>
        <i/>
        <sz val="7"/>
        <rFont val="Arial"/>
        <family val="2"/>
      </rPr>
      <t>Каскад СТАНДАРТ/ПРЕМИУМ</t>
    </r>
  </si>
  <si>
    <r>
      <rPr>
        <b/>
        <sz val="7"/>
        <rFont val="Arial"/>
        <family val="2"/>
      </rPr>
      <t xml:space="preserve">МЧ </t>
    </r>
    <r>
      <rPr>
        <b/>
        <i/>
        <sz val="7"/>
        <rFont val="Arial"/>
        <family val="2"/>
      </rPr>
      <t>ГОЛЛАНДИЯ/МАКСИ</t>
    </r>
  </si>
  <si>
    <r>
      <rPr>
        <b/>
        <sz val="7"/>
        <rFont val="Arial"/>
        <family val="2"/>
      </rPr>
      <t xml:space="preserve">МЧ </t>
    </r>
    <r>
      <rPr>
        <b/>
        <i/>
        <sz val="7"/>
        <rFont val="Arial"/>
        <family val="2"/>
      </rPr>
      <t>ГОЛЛАНДИЯ ПРЕМИУМ</t>
    </r>
  </si>
  <si>
    <r>
      <rPr>
        <b/>
        <sz val="7"/>
        <rFont val="Arial"/>
        <family val="2"/>
      </rPr>
      <t xml:space="preserve">МЧ </t>
    </r>
    <r>
      <rPr>
        <b/>
        <i/>
        <sz val="7"/>
        <rFont val="Arial"/>
        <family val="2"/>
      </rPr>
      <t>ВЕНЕЦИЯ/МАКСИ</t>
    </r>
  </si>
  <si>
    <r>
      <rPr>
        <b/>
        <sz val="7"/>
        <rFont val="Arial"/>
        <family val="2"/>
      </rPr>
      <t xml:space="preserve">МЧ </t>
    </r>
    <r>
      <rPr>
        <b/>
        <i/>
        <sz val="7"/>
        <rFont val="Arial"/>
        <family val="2"/>
      </rPr>
      <t>ВЕНЕЦИЯ ПРЕМИУМ</t>
    </r>
  </si>
  <si>
    <r>
      <rPr>
        <b/>
        <sz val="7"/>
        <rFont val="Arial"/>
        <family val="2"/>
      </rPr>
      <t xml:space="preserve">МЧ </t>
    </r>
    <r>
      <rPr>
        <b/>
        <i/>
        <sz val="7"/>
        <rFont val="Arial"/>
        <family val="2"/>
      </rPr>
      <t>БАВАРИЯ</t>
    </r>
  </si>
  <si>
    <r>
      <rPr>
        <b/>
        <sz val="7"/>
        <rFont val="Arial"/>
        <family val="2"/>
      </rPr>
      <t xml:space="preserve">МЧ </t>
    </r>
    <r>
      <rPr>
        <b/>
        <i/>
        <sz val="7"/>
        <rFont val="Arial"/>
        <family val="2"/>
      </rPr>
      <t>БАВАРИЯ МАКСИ</t>
    </r>
  </si>
  <si>
    <r>
      <rPr>
        <b/>
        <sz val="7"/>
        <rFont val="Arial"/>
        <family val="2"/>
      </rPr>
      <t xml:space="preserve">Сайдинг </t>
    </r>
    <r>
      <rPr>
        <b/>
        <i/>
        <sz val="7"/>
        <rFont val="Arial"/>
        <family val="2"/>
      </rPr>
      <t>"БРЕВНО"</t>
    </r>
  </si>
  <si>
    <r>
      <rPr>
        <b/>
        <sz val="7"/>
        <rFont val="Arial"/>
        <family val="2"/>
      </rPr>
      <t xml:space="preserve">Сайдинг </t>
    </r>
    <r>
      <rPr>
        <b/>
        <i/>
        <sz val="7"/>
        <rFont val="Arial"/>
        <family val="2"/>
      </rPr>
      <t>"КОРАБЕЛЬНАЯ ДОСКА"</t>
    </r>
  </si>
  <si>
    <r>
      <rPr>
        <b/>
        <sz val="7"/>
        <rFont val="Arial"/>
        <family val="2"/>
      </rPr>
      <t xml:space="preserve">Сайдинг </t>
    </r>
    <r>
      <rPr>
        <b/>
        <i/>
        <sz val="7"/>
        <rFont val="Arial"/>
        <family val="2"/>
      </rPr>
      <t>"ЭЛЬБРУС"</t>
    </r>
  </si>
  <si>
    <r>
      <rPr>
        <b/>
        <i/>
        <sz val="7"/>
        <rFont val="Arial"/>
        <family val="2"/>
      </rPr>
      <t>СОФИТ</t>
    </r>
  </si>
  <si>
    <r>
      <rPr>
        <b/>
        <sz val="7"/>
        <rFont val="Arial"/>
        <family val="2"/>
      </rPr>
      <t>Гладкий лист</t>
    </r>
  </si>
  <si>
    <r>
      <rPr>
        <b/>
        <sz val="7"/>
        <color rgb="FFCC0000"/>
        <rFont val="Arial"/>
        <family val="2"/>
      </rPr>
      <t>ПО ЗАПРОСУ!!!</t>
    </r>
  </si>
  <si>
    <r>
      <rPr>
        <b/>
        <sz val="7"/>
        <rFont val="Arial"/>
        <family val="2"/>
      </rPr>
      <t>Профиль Каскадный(А,В)</t>
    </r>
  </si>
  <si>
    <r>
      <rPr>
        <b/>
        <sz val="7"/>
        <rFont val="Arial"/>
        <family val="2"/>
      </rPr>
      <t>С-8</t>
    </r>
  </si>
  <si>
    <r>
      <rPr>
        <b/>
        <sz val="7"/>
        <rFont val="Arial"/>
        <family val="2"/>
      </rPr>
      <t>Европрофиль</t>
    </r>
  </si>
  <si>
    <r>
      <rPr>
        <b/>
        <sz val="7"/>
        <rFont val="Arial"/>
        <family val="2"/>
      </rPr>
      <t>Европрофиль с фигур. срезом</t>
    </r>
  </si>
  <si>
    <r>
      <rPr>
        <b/>
        <sz val="7"/>
        <rFont val="Arial"/>
        <family val="2"/>
      </rPr>
      <t>Европрофиль с прям. срезом</t>
    </r>
  </si>
  <si>
    <r>
      <rPr>
        <b/>
        <sz val="7"/>
        <rFont val="Arial"/>
        <family val="2"/>
      </rPr>
      <t>МП-10 (А,В)</t>
    </r>
  </si>
  <si>
    <r>
      <rPr>
        <b/>
        <sz val="7"/>
        <rFont val="Arial"/>
        <family val="2"/>
      </rPr>
      <t>С-15 (A,B)</t>
    </r>
  </si>
  <si>
    <r>
      <rPr>
        <b/>
        <sz val="7"/>
        <rFont val="Arial"/>
        <family val="2"/>
      </rPr>
      <t>МП-20 (А,В,R)</t>
    </r>
  </si>
  <si>
    <r>
      <rPr>
        <b/>
        <sz val="7"/>
        <rFont val="Arial"/>
        <family val="2"/>
      </rPr>
      <t>С-21</t>
    </r>
  </si>
  <si>
    <r>
      <rPr>
        <b/>
        <sz val="7"/>
        <rFont val="Arial"/>
        <family val="2"/>
      </rPr>
      <t>НС-35 (НС-35R)</t>
    </r>
  </si>
  <si>
    <r>
      <rPr>
        <b/>
        <sz val="7"/>
        <rFont val="Arial"/>
        <family val="2"/>
      </rPr>
      <t>Н-75 (Н-75R)</t>
    </r>
  </si>
  <si>
    <r>
      <rPr>
        <b/>
        <sz val="7"/>
        <rFont val="Arial"/>
        <family val="2"/>
      </rPr>
      <t>Штакетник металлический*</t>
    </r>
  </si>
  <si>
    <r>
      <rPr>
        <sz val="7"/>
        <rFont val="Arial"/>
        <family val="2"/>
      </rPr>
      <t>пм</t>
    </r>
  </si>
  <si>
    <r>
      <rPr>
        <b/>
        <sz val="7"/>
        <rFont val="Arial"/>
        <family val="2"/>
      </rPr>
      <t>75*</t>
    </r>
  </si>
  <si>
    <r>
      <rPr>
        <b/>
        <sz val="7"/>
        <rFont val="Arial"/>
        <family val="2"/>
      </rPr>
      <t>85*</t>
    </r>
  </si>
  <si>
    <r>
      <rPr>
        <b/>
        <sz val="7"/>
        <rFont val="Arial"/>
        <family val="2"/>
      </rPr>
      <t>95*</t>
    </r>
  </si>
  <si>
    <r>
      <rPr>
        <b/>
        <sz val="7"/>
        <rFont val="Arial"/>
        <family val="2"/>
      </rPr>
      <t>100*</t>
    </r>
  </si>
  <si>
    <r>
      <rPr>
        <b/>
        <sz val="7"/>
        <rFont val="Arial"/>
        <family val="2"/>
      </rPr>
      <t>115*</t>
    </r>
  </si>
  <si>
    <r>
      <rPr>
        <b/>
        <sz val="7"/>
        <rFont val="Arial"/>
        <family val="2"/>
      </rPr>
      <t>110*</t>
    </r>
  </si>
  <si>
    <r>
      <rPr>
        <b/>
        <sz val="7"/>
        <rFont val="Arial"/>
        <family val="2"/>
      </rPr>
      <t>-</t>
    </r>
  </si>
  <si>
    <r>
      <rPr>
        <b/>
        <sz val="7"/>
        <rFont val="Arial"/>
        <family val="2"/>
      </rPr>
      <t>105*</t>
    </r>
  </si>
  <si>
    <r>
      <rPr>
        <b/>
        <sz val="7"/>
        <rFont val="Arial"/>
        <family val="2"/>
      </rPr>
      <t>130*</t>
    </r>
  </si>
  <si>
    <r>
      <rPr>
        <b/>
        <sz val="7"/>
        <rFont val="Arial"/>
        <family val="2"/>
      </rPr>
      <t>125*</t>
    </r>
  </si>
  <si>
    <r>
      <rPr>
        <b/>
        <sz val="7"/>
        <rFont val="Arial"/>
        <family val="2"/>
      </rPr>
      <t>190*</t>
    </r>
  </si>
  <si>
    <r>
      <rPr>
        <b/>
        <sz val="7"/>
        <color rgb="FFCC0000"/>
        <rFont val="Arial"/>
        <family val="2"/>
      </rPr>
      <t>УСЛУГА ПО НАНЕСЕНИЮ ПЛЕНКИ - 15 РУБ/М2</t>
    </r>
  </si>
  <si>
    <t>Рабочая ширина, мм</t>
  </si>
  <si>
    <t>Единица измерения</t>
  </si>
  <si>
    <t>Полная ширина, мм</t>
  </si>
  <si>
    <r>
      <rPr>
        <sz val="10"/>
        <rFont val="Arial"/>
        <family val="2"/>
      </rPr>
      <t>кв.м</t>
    </r>
  </si>
  <si>
    <r>
      <rPr>
        <sz val="10"/>
        <rFont val="Arial"/>
        <family val="2"/>
      </rPr>
      <t>-</t>
    </r>
  </si>
  <si>
    <r>
      <rPr>
        <b/>
        <sz val="10"/>
        <rFont val="Arial"/>
        <family val="2"/>
      </rPr>
      <t>500
500</t>
    </r>
  </si>
  <si>
    <r>
      <rPr>
        <b/>
        <sz val="10"/>
        <rFont val="Arial"/>
        <family val="2"/>
      </rPr>
      <t>405*</t>
    </r>
  </si>
  <si>
    <r>
      <rPr>
        <b/>
        <sz val="10"/>
        <rFont val="Arial"/>
        <family val="2"/>
      </rPr>
      <t>445*</t>
    </r>
  </si>
  <si>
    <r>
      <rPr>
        <b/>
        <sz val="10"/>
        <rFont val="Arial"/>
        <family val="2"/>
      </rPr>
      <t>485*</t>
    </r>
  </si>
  <si>
    <r>
      <rPr>
        <b/>
        <sz val="10"/>
        <rFont val="Arial"/>
        <family val="2"/>
      </rPr>
      <t>555*</t>
    </r>
  </si>
  <si>
    <r>
      <rPr>
        <b/>
        <sz val="10"/>
        <rFont val="Arial"/>
        <family val="2"/>
      </rPr>
      <t>515*</t>
    </r>
  </si>
  <si>
    <r>
      <rPr>
        <b/>
        <sz val="10"/>
        <rFont val="Arial"/>
        <family val="2"/>
      </rPr>
      <t>545*</t>
    </r>
  </si>
  <si>
    <r>
      <rPr>
        <b/>
        <sz val="10"/>
        <rFont val="Arial"/>
        <family val="2"/>
      </rPr>
      <t>490*</t>
    </r>
  </si>
  <si>
    <r>
      <rPr>
        <b/>
        <sz val="10"/>
        <rFont val="Arial"/>
        <family val="2"/>
      </rPr>
      <t>585*</t>
    </r>
  </si>
  <si>
    <r>
      <rPr>
        <b/>
        <sz val="10"/>
        <rFont val="Arial"/>
        <family val="2"/>
      </rPr>
      <t>640*</t>
    </r>
  </si>
  <si>
    <r>
      <rPr>
        <b/>
        <sz val="10"/>
        <rFont val="Arial"/>
        <family val="2"/>
      </rPr>
      <t>655*</t>
    </r>
  </si>
  <si>
    <r>
      <rPr>
        <b/>
        <sz val="10"/>
        <rFont val="Arial"/>
        <family val="2"/>
      </rPr>
      <t>* металл в пленке</t>
    </r>
  </si>
  <si>
    <r>
      <rPr>
        <b/>
        <sz val="10"/>
        <rFont val="Arial"/>
        <family val="2"/>
      </rPr>
      <t>395*</t>
    </r>
  </si>
  <si>
    <r>
      <rPr>
        <b/>
        <sz val="10"/>
        <rFont val="Arial"/>
        <family val="2"/>
      </rPr>
      <t>435*</t>
    </r>
  </si>
  <si>
    <r>
      <rPr>
        <b/>
        <sz val="10"/>
        <rFont val="Arial"/>
        <family val="2"/>
      </rPr>
      <t>475*</t>
    </r>
  </si>
  <si>
    <r>
      <rPr>
        <b/>
        <sz val="10"/>
        <rFont val="Arial"/>
        <family val="2"/>
      </rPr>
      <t>505*</t>
    </r>
  </si>
  <si>
    <r>
      <rPr>
        <b/>
        <sz val="10"/>
        <rFont val="Arial"/>
        <family val="2"/>
      </rPr>
      <t>535*</t>
    </r>
  </si>
  <si>
    <r>
      <rPr>
        <b/>
        <sz val="10"/>
        <rFont val="Arial"/>
        <family val="2"/>
      </rPr>
      <t>480*</t>
    </r>
  </si>
  <si>
    <r>
      <rPr>
        <b/>
        <sz val="10"/>
        <rFont val="Arial"/>
        <family val="2"/>
      </rPr>
      <t>575*</t>
    </r>
  </si>
  <si>
    <r>
      <rPr>
        <b/>
        <sz val="10"/>
        <rFont val="Arial"/>
        <family val="2"/>
      </rPr>
      <t>630*</t>
    </r>
  </si>
  <si>
    <r>
      <rPr>
        <b/>
        <sz val="10"/>
        <rFont val="Arial"/>
        <family val="2"/>
      </rPr>
      <t>645*</t>
    </r>
  </si>
  <si>
    <r>
      <rPr>
        <b/>
        <sz val="10"/>
        <color rgb="FFCC0000"/>
        <rFont val="Arial"/>
        <family val="2"/>
      </rPr>
      <t>п</t>
    </r>
  </si>
  <si>
    <r>
      <rPr>
        <sz val="10"/>
        <color rgb="FFCC0000"/>
        <rFont val="Arial"/>
        <family val="2"/>
      </rPr>
      <t>о</t>
    </r>
  </si>
  <si>
    <r>
      <rPr>
        <b/>
        <sz val="10"/>
        <color rgb="FFCC0000"/>
        <rFont val="Arial"/>
        <family val="2"/>
      </rPr>
      <t>з</t>
    </r>
  </si>
  <si>
    <r>
      <rPr>
        <b/>
        <sz val="10"/>
        <color rgb="FFCC0000"/>
        <rFont val="Arial"/>
        <family val="2"/>
      </rPr>
      <t>а</t>
    </r>
  </si>
  <si>
    <r>
      <rPr>
        <b/>
        <sz val="10"/>
        <color rgb="FFCC0000"/>
        <rFont val="Arial"/>
        <family val="2"/>
      </rPr>
      <t>р</t>
    </r>
  </si>
  <si>
    <r>
      <rPr>
        <b/>
        <sz val="10"/>
        <color rgb="FFCC0000"/>
        <rFont val="Arial"/>
        <family val="2"/>
      </rPr>
      <t>о</t>
    </r>
  </si>
  <si>
    <r>
      <rPr>
        <b/>
        <sz val="10"/>
        <color rgb="FFCC0000"/>
        <rFont val="Arial"/>
        <family val="2"/>
      </rPr>
      <t>с</t>
    </r>
  </si>
  <si>
    <r>
      <rPr>
        <b/>
        <sz val="10"/>
        <color rgb="FFCC0000"/>
        <rFont val="Arial"/>
        <family val="2"/>
      </rPr>
      <t>у</t>
    </r>
  </si>
  <si>
    <r>
      <rPr>
        <sz val="10"/>
        <color rgb="FFCC0000"/>
        <rFont val="Arial"/>
        <family val="2"/>
      </rPr>
      <t>!</t>
    </r>
  </si>
  <si>
    <r>
      <rPr>
        <sz val="10"/>
        <color rgb="FFCC0000"/>
        <rFont val="Arial"/>
        <family val="2"/>
      </rPr>
      <t>-</t>
    </r>
  </si>
  <si>
    <t>ECONOM</t>
  </si>
  <si>
    <t>STANDA</t>
  </si>
  <si>
    <t>GARANT</t>
  </si>
  <si>
    <t>Стальной шелк</t>
  </si>
  <si>
    <t>Стальной бархат</t>
  </si>
  <si>
    <t>DUPLEX</t>
  </si>
  <si>
    <t>Полиэстер 0,7</t>
  </si>
  <si>
    <t>NeoMatt</t>
  </si>
  <si>
    <t>Премьер</t>
  </si>
  <si>
    <t>Полиэстер Ruukki</t>
  </si>
  <si>
    <t>PRINTECH</t>
  </si>
  <si>
    <t>PURAL</t>
  </si>
  <si>
    <t>ТОЛЩИНА, ММ</t>
  </si>
  <si>
    <t>ПОКРЫТИЕ</t>
  </si>
  <si>
    <t>ЦИНК</t>
  </si>
  <si>
    <t>ООО "ЦЕНТР-ТИМ"   Платонов Иван 89536104242  centrtim57@mail.ru  28/03/19</t>
  </si>
  <si>
    <t>Кол-во  в упаковке</t>
  </si>
  <si>
    <t>Для Кровельных и Торгующих Организация</t>
  </si>
  <si>
    <t>Минимальная розничная цена</t>
  </si>
  <si>
    <t>Рекомендуемая розничная цена</t>
  </si>
  <si>
    <t>8 919 263 06 07 Дмитрий</t>
  </si>
  <si>
    <t>Черепица Döcke PIE, серия EUROPA</t>
  </si>
  <si>
    <t>кв.м./ п.м.</t>
  </si>
  <si>
    <r>
      <t>Гибкая черепица</t>
    </r>
    <r>
      <rPr>
        <b/>
        <sz val="11"/>
        <rFont val="Arial Narrow"/>
        <family val="2"/>
        <charset val="204"/>
      </rPr>
      <t xml:space="preserve"> Döcke PIE EUROPA/ KARAT/ </t>
    </r>
    <r>
      <rPr>
        <sz val="11"/>
        <rFont val="Arial Narrow"/>
        <family val="2"/>
        <charset val="204"/>
      </rPr>
      <t>Зеленый, Коричневый, Красный</t>
    </r>
  </si>
  <si>
    <r>
      <t>Гибкая черепица</t>
    </r>
    <r>
      <rPr>
        <b/>
        <sz val="11"/>
        <rFont val="Arial Narrow"/>
        <family val="2"/>
        <charset val="204"/>
      </rPr>
      <t xml:space="preserve"> Döcke PIE EUROPA/ MATRIX/</t>
    </r>
    <r>
      <rPr>
        <sz val="11"/>
        <rFont val="Arial Narrow"/>
        <family val="2"/>
        <charset val="204"/>
      </rPr>
      <t xml:space="preserve"> Коричневый, Красный, Серый</t>
    </r>
  </si>
  <si>
    <r>
      <t>Гибкая черепица</t>
    </r>
    <r>
      <rPr>
        <b/>
        <sz val="11"/>
        <rFont val="Arial Narrow"/>
        <family val="2"/>
        <charset val="204"/>
      </rPr>
      <t xml:space="preserve"> Döcke PIE EUROPA/ CUPOLA/ </t>
    </r>
    <r>
      <rPr>
        <sz val="11"/>
        <rFont val="Arial Narrow"/>
        <family val="2"/>
        <charset val="204"/>
      </rPr>
      <t>Зеленый, Коричневый, Красный</t>
    </r>
  </si>
  <si>
    <t>Черепица Döcke PIE, серия STANDARD</t>
  </si>
  <si>
    <r>
      <t>Гибкая черепица</t>
    </r>
    <r>
      <rPr>
        <b/>
        <sz val="11"/>
        <rFont val="Arial Narrow"/>
        <family val="2"/>
        <charset val="204"/>
      </rPr>
      <t xml:space="preserve"> Döcke PIE STANDARD/ СОТА/</t>
    </r>
    <r>
      <rPr>
        <sz val="11"/>
        <rFont val="Arial Narrow"/>
        <family val="2"/>
        <charset val="204"/>
      </rPr>
      <t xml:space="preserve"> Зеленый, Коричневый, Красный, Серый </t>
    </r>
  </si>
  <si>
    <r>
      <t>Гибкая черепица</t>
    </r>
    <r>
      <rPr>
        <b/>
        <sz val="11"/>
        <rFont val="Arial Narrow"/>
        <family val="2"/>
        <charset val="204"/>
      </rPr>
      <t xml:space="preserve"> Döcke PIE STANDARD/ ТЕТРИС/</t>
    </r>
    <r>
      <rPr>
        <sz val="11"/>
        <rFont val="Arial Narrow"/>
        <family val="2"/>
        <charset val="204"/>
      </rPr>
      <t xml:space="preserve"> Красный, Коричневый, Зеленый</t>
    </r>
  </si>
  <si>
    <r>
      <t xml:space="preserve">Гибкая черепица </t>
    </r>
    <r>
      <rPr>
        <b/>
        <sz val="11"/>
        <rFont val="Arial Narrow"/>
        <family val="2"/>
        <charset val="204"/>
      </rPr>
      <t xml:space="preserve">Döcke PIE STANDARD/ КОЛЬЧУГА/ </t>
    </r>
    <r>
      <rPr>
        <sz val="11"/>
        <rFont val="Arial Narrow"/>
        <family val="2"/>
        <charset val="204"/>
      </rPr>
      <t xml:space="preserve">Зеленый, Красный, Коричневый </t>
    </r>
  </si>
  <si>
    <r>
      <t xml:space="preserve">Гибкая черепица </t>
    </r>
    <r>
      <rPr>
        <b/>
        <sz val="11"/>
        <rFont val="Arial Narrow"/>
        <family val="2"/>
        <charset val="204"/>
      </rPr>
      <t>Döcke PIE STANDARD/ КРОНА/</t>
    </r>
    <r>
      <rPr>
        <sz val="11"/>
        <rFont val="Arial Narrow"/>
        <family val="2"/>
        <charset val="204"/>
      </rPr>
      <t xml:space="preserve"> Красный, Коричневый, Серый </t>
    </r>
  </si>
  <si>
    <r>
      <rPr>
        <b/>
        <i/>
        <sz val="11"/>
        <rFont val="Arial Narrow"/>
        <family val="2"/>
        <charset val="204"/>
      </rPr>
      <t xml:space="preserve">Коньково-карнизная черепица </t>
    </r>
    <r>
      <rPr>
        <i/>
        <sz val="11"/>
        <rFont val="Arial Narrow"/>
        <family val="2"/>
        <charset val="204"/>
      </rPr>
      <t xml:space="preserve">Döcke PIE STANDARD/ Зеленый, Коричневый, Красный, Серый </t>
    </r>
  </si>
  <si>
    <t>Черепица Döcke PIE, серия PREMIUM</t>
  </si>
  <si>
    <r>
      <t xml:space="preserve">Гибкая черепица </t>
    </r>
    <r>
      <rPr>
        <b/>
        <sz val="11"/>
        <rFont val="Arial Narrow"/>
        <family val="2"/>
        <charset val="204"/>
      </rPr>
      <t xml:space="preserve">Döcke PIE PREMIUM/ НИЦЦА/ </t>
    </r>
    <r>
      <rPr>
        <sz val="11"/>
        <rFont val="Arial Narrow"/>
        <family val="2"/>
        <charset val="204"/>
      </rPr>
      <t>Каштан, Фундук, Барбарис, Щербет</t>
    </r>
  </si>
  <si>
    <r>
      <t xml:space="preserve">Гибкая черепица </t>
    </r>
    <r>
      <rPr>
        <b/>
        <sz val="11"/>
        <rFont val="Arial Narrow"/>
        <family val="2"/>
        <charset val="204"/>
      </rPr>
      <t>Döcke PIE PREMIUM/ КЁЛЬН/</t>
    </r>
    <r>
      <rPr>
        <sz val="11"/>
        <rFont val="Arial Narrow"/>
        <family val="2"/>
        <charset val="204"/>
      </rPr>
      <t xml:space="preserve"> Имбирь, Корица, Мята, Чернослив</t>
    </r>
  </si>
  <si>
    <r>
      <t xml:space="preserve">Гибкая черепица </t>
    </r>
    <r>
      <rPr>
        <b/>
        <sz val="11"/>
        <rFont val="Arial Narrow"/>
        <family val="2"/>
        <charset val="204"/>
      </rPr>
      <t xml:space="preserve">Döcke PIE PREMIUM/ ШЕФФИЛД/ </t>
    </r>
    <r>
      <rPr>
        <sz val="11"/>
        <rFont val="Arial Narrow"/>
        <family val="2"/>
        <charset val="204"/>
      </rPr>
      <t>Бисквит, Кофе, Миндаль, Клубника</t>
    </r>
  </si>
  <si>
    <r>
      <t>Гибкая черепица</t>
    </r>
    <r>
      <rPr>
        <b/>
        <sz val="11"/>
        <rFont val="Arial Narrow"/>
        <family val="2"/>
        <charset val="204"/>
      </rPr>
      <t xml:space="preserve"> Döcke PIE PREMIUM/ ГРАНАДА/ </t>
    </r>
    <r>
      <rPr>
        <sz val="11"/>
        <rFont val="Arial Narrow"/>
        <family val="2"/>
        <charset val="204"/>
      </rPr>
      <t xml:space="preserve">Какао, Кофе, Кунжут, Инжир </t>
    </r>
  </si>
  <si>
    <r>
      <t>Гибкая черепица</t>
    </r>
    <r>
      <rPr>
        <b/>
        <sz val="11"/>
        <rFont val="Arial Narrow"/>
        <family val="2"/>
        <charset val="204"/>
      </rPr>
      <t xml:space="preserve"> Döcke PIE PREMIUM/ ГЕНУЯ/ </t>
    </r>
    <r>
      <rPr>
        <sz val="11"/>
        <rFont val="Arial Narrow"/>
        <family val="2"/>
        <charset val="204"/>
      </rPr>
      <t>Амаретто, Трюфель, Канноли, Мускат</t>
    </r>
  </si>
  <si>
    <r>
      <t xml:space="preserve">Гибкая черепица </t>
    </r>
    <r>
      <rPr>
        <b/>
        <sz val="11"/>
        <rFont val="Arial Narrow"/>
        <family val="2"/>
        <charset val="204"/>
      </rPr>
      <t>Döcke PIE PREMIUM/ ЛЬЕЖ/</t>
    </r>
    <r>
      <rPr>
        <sz val="11"/>
        <rFont val="Arial Narrow"/>
        <family val="2"/>
        <charset val="204"/>
      </rPr>
      <t xml:space="preserve">  Грильяж, Ирис, Барбарис , Изюм</t>
    </r>
  </si>
  <si>
    <r>
      <t xml:space="preserve">Гибкая черепица </t>
    </r>
    <r>
      <rPr>
        <b/>
        <sz val="11"/>
        <rFont val="Arial Narrow"/>
        <family val="2"/>
        <charset val="204"/>
      </rPr>
      <t>Döcke PIE PREMIUM/ ЦЮРИХ/</t>
    </r>
    <r>
      <rPr>
        <sz val="11"/>
        <rFont val="Arial Narrow"/>
        <family val="2"/>
        <charset val="204"/>
      </rPr>
      <t xml:space="preserve"> Арахис, Кофе, Чили, Фладен, Изюм </t>
    </r>
  </si>
  <si>
    <r>
      <t xml:space="preserve">Гибкая черепица </t>
    </r>
    <r>
      <rPr>
        <b/>
        <sz val="11"/>
        <rFont val="Arial Narrow"/>
        <family val="2"/>
        <charset val="204"/>
      </rPr>
      <t xml:space="preserve">Döcke PIE PREMIUM/ ЖЕНЕВА/ </t>
    </r>
    <r>
      <rPr>
        <sz val="11"/>
        <rFont val="Arial Narrow"/>
        <family val="2"/>
        <charset val="204"/>
      </rPr>
      <t xml:space="preserve">Арахис, Кофе, Чили, Фладен, Изюм </t>
    </r>
  </si>
  <si>
    <r>
      <t>Гибкая черепица</t>
    </r>
    <r>
      <rPr>
        <b/>
        <sz val="11"/>
        <rFont val="Arial Narrow"/>
        <family val="2"/>
        <charset val="204"/>
      </rPr>
      <t xml:space="preserve"> Döcke PIE PREMIUM/ САППОРО/</t>
    </r>
    <r>
      <rPr>
        <sz val="11"/>
        <rFont val="Arial Narrow"/>
        <family val="2"/>
        <charset val="204"/>
      </rPr>
      <t xml:space="preserve"> Вагаси, Кофе, Мускат, Слива</t>
    </r>
  </si>
  <si>
    <r>
      <rPr>
        <b/>
        <i/>
        <sz val="11"/>
        <rFont val="Arial Narrow"/>
        <family val="2"/>
        <charset val="204"/>
      </rPr>
      <t>Коньково-карнизная черепица</t>
    </r>
    <r>
      <rPr>
        <i/>
        <sz val="11"/>
        <rFont val="Arial Narrow"/>
        <family val="2"/>
        <charset val="204"/>
      </rPr>
      <t xml:space="preserve"> Döcke PIE PREMIUM/ Все цвета</t>
    </r>
  </si>
  <si>
    <t>Ендовые ковры Döcke PIE</t>
  </si>
  <si>
    <r>
      <rPr>
        <b/>
        <sz val="11"/>
        <rFont val="Arial Narrow"/>
        <family val="2"/>
        <charset val="204"/>
      </rPr>
      <t>Ендовый ковер</t>
    </r>
    <r>
      <rPr>
        <sz val="11"/>
        <rFont val="Arial Narrow"/>
        <family val="2"/>
        <charset val="204"/>
      </rPr>
      <t xml:space="preserve"> Döcke PIE/ 1000/  Все цвета</t>
    </r>
  </si>
  <si>
    <t>Подкладочные ковры</t>
  </si>
  <si>
    <t>кв.м.</t>
  </si>
  <si>
    <r>
      <t>Подкладочный</t>
    </r>
    <r>
      <rPr>
        <b/>
        <sz val="11"/>
        <rFont val="Arial Narrow"/>
        <family val="2"/>
        <charset val="204"/>
      </rPr>
      <t xml:space="preserve"> ковер STANDARD </t>
    </r>
    <r>
      <rPr>
        <sz val="11"/>
        <rFont val="Arial Narrow"/>
        <family val="2"/>
        <charset val="204"/>
      </rPr>
      <t>, 15 м</t>
    </r>
  </si>
  <si>
    <r>
      <t>Подкладочный</t>
    </r>
    <r>
      <rPr>
        <b/>
        <sz val="11"/>
        <rFont val="Arial Narrow"/>
        <family val="2"/>
        <charset val="204"/>
      </rPr>
      <t xml:space="preserve"> ковер STANDARD PLUS</t>
    </r>
    <r>
      <rPr>
        <sz val="11"/>
        <rFont val="Arial Narrow"/>
        <family val="2"/>
        <charset val="204"/>
      </rPr>
      <t xml:space="preserve"> , 15 м</t>
    </r>
  </si>
  <si>
    <r>
      <t xml:space="preserve">Подкладочный </t>
    </r>
    <r>
      <rPr>
        <b/>
        <sz val="11"/>
        <rFont val="Arial Narrow"/>
        <family val="2"/>
        <charset val="204"/>
      </rPr>
      <t>ковер СOMFORT GLASS</t>
    </r>
    <r>
      <rPr>
        <sz val="11"/>
        <rFont val="Arial Narrow"/>
        <family val="2"/>
        <charset val="204"/>
      </rPr>
      <t>, 30 м, SBS модифицированный</t>
    </r>
  </si>
  <si>
    <r>
      <t xml:space="preserve">Подкладочный </t>
    </r>
    <r>
      <rPr>
        <b/>
        <sz val="11"/>
        <rFont val="Arial Narrow"/>
        <family val="2"/>
        <charset val="204"/>
      </rPr>
      <t>ковер СOMFORT GLASS</t>
    </r>
    <r>
      <rPr>
        <sz val="11"/>
        <rFont val="Arial Narrow"/>
        <family val="2"/>
        <charset val="204"/>
      </rPr>
      <t>, 15 м, SBS модифицированный</t>
    </r>
  </si>
  <si>
    <r>
      <t xml:space="preserve">Подкладочный </t>
    </r>
    <r>
      <rPr>
        <b/>
        <sz val="11"/>
        <rFont val="Arial Narrow"/>
        <family val="2"/>
        <charset val="204"/>
      </rPr>
      <t>ковер СOMFORT</t>
    </r>
    <r>
      <rPr>
        <sz val="11"/>
        <rFont val="Arial Narrow"/>
        <family val="2"/>
        <charset val="204"/>
      </rPr>
      <t>, 40 м, SBS модифицированный</t>
    </r>
  </si>
  <si>
    <r>
      <t xml:space="preserve">Подкладочный </t>
    </r>
    <r>
      <rPr>
        <b/>
        <sz val="11"/>
        <rFont val="Arial Narrow"/>
        <family val="2"/>
        <charset val="204"/>
      </rPr>
      <t>ковёр FIX GLASS</t>
    </r>
    <r>
      <rPr>
        <sz val="11"/>
        <rFont val="Arial Narrow"/>
        <family val="2"/>
        <charset val="204"/>
      </rPr>
      <t>, 30 м, самоклеящийся, SBS модифицированный</t>
    </r>
  </si>
  <si>
    <r>
      <t>Подкладочный</t>
    </r>
    <r>
      <rPr>
        <b/>
        <sz val="11"/>
        <rFont val="Arial Narrow"/>
        <family val="2"/>
        <charset val="204"/>
      </rPr>
      <t xml:space="preserve"> ковёр FIX PLAST</t>
    </r>
    <r>
      <rPr>
        <sz val="11"/>
        <rFont val="Arial Narrow"/>
        <family val="2"/>
        <charset val="204"/>
      </rPr>
      <t>, 15 м, самоклеящийся, SBS модифицированный</t>
    </r>
  </si>
  <si>
    <t>л/ кг/ шт.</t>
  </si>
  <si>
    <t>Мастика для гибкой черепицы, 0,29 л</t>
  </si>
  <si>
    <t>Мастика для гибкой черепицы, 5 л.</t>
  </si>
  <si>
    <t>Мастика для гибкой черепицы, 10 л.</t>
  </si>
  <si>
    <t>Гвозди кровельные оцинкованные ершённые, 5 кг</t>
  </si>
  <si>
    <t>Снегозадержатели Döcke, цвет ШОКОЛАД, шт.</t>
  </si>
  <si>
    <t>Прайс-лист для Воронежской, Белгородской, Курской, Липецкой, Тамбовской, Орловской обасти !!!!!!!!!</t>
  </si>
  <si>
    <t>Установленные по Соглашению Цены Завода - производителя от 09.07.2018г</t>
  </si>
  <si>
    <t>Для Кровельных и Торгующих Организаций</t>
  </si>
  <si>
    <t>Коньковый аэратор Döcke</t>
  </si>
  <si>
    <r>
      <rPr>
        <b/>
        <sz val="11"/>
        <rFont val="Arial Narrow"/>
        <family val="2"/>
        <charset val="204"/>
      </rPr>
      <t xml:space="preserve">Аэратор </t>
    </r>
    <r>
      <rPr>
        <sz val="11"/>
        <rFont val="Arial Narrow"/>
        <family val="2"/>
        <charset val="204"/>
      </rPr>
      <t>конькоый Döcke PIE, 1 п.м.</t>
    </r>
  </si>
  <si>
    <r>
      <rPr>
        <b/>
        <sz val="11"/>
        <rFont val="Arial Narrow"/>
        <family val="2"/>
        <charset val="204"/>
      </rPr>
      <t xml:space="preserve">Фильтр </t>
    </r>
    <r>
      <rPr>
        <sz val="11"/>
        <rFont val="Arial Narrow"/>
        <family val="2"/>
        <charset val="204"/>
      </rPr>
      <t>для конькового аэратора Döcke, уп=12 шт</t>
    </r>
  </si>
  <si>
    <t>Точечный аэратор Döcke</t>
  </si>
  <si>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NEXT</t>
    </r>
    <r>
      <rPr>
        <sz val="11"/>
        <rFont val="Arial Narrow"/>
        <family val="2"/>
        <charset val="204"/>
      </rPr>
      <t>, все цвета</t>
    </r>
  </si>
  <si>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ROOT</t>
    </r>
    <r>
      <rPr>
        <sz val="11"/>
        <rFont val="Arial Narrow"/>
        <family val="2"/>
        <charset val="204"/>
      </rPr>
      <t>, все цвета</t>
    </r>
  </si>
  <si>
    <t>Прайс-лист для Воронежской, Белгородской, Курской, Липецкой, Тамбовской, Орловской обасти !!!!!!!!</t>
  </si>
  <si>
    <t>Для Кровельных и Торгующих организация</t>
  </si>
  <si>
    <t>Döcke PREMIUM Сайдинг Виниловый</t>
  </si>
  <si>
    <r>
      <t xml:space="preserve">Сайдинг </t>
    </r>
    <r>
      <rPr>
        <b/>
        <sz val="11"/>
        <rFont val="Arial Narrow"/>
        <family val="2"/>
        <charset val="204"/>
      </rPr>
      <t>D4,5D</t>
    </r>
    <r>
      <rPr>
        <sz val="11"/>
        <rFont val="Arial Narrow"/>
        <family val="2"/>
        <charset val="204"/>
      </rPr>
      <t xml:space="preserve"> (все цвета, кроме Ирис, Пралине)</t>
    </r>
  </si>
  <si>
    <r>
      <t xml:space="preserve">Сайдинг </t>
    </r>
    <r>
      <rPr>
        <b/>
        <sz val="11"/>
        <rFont val="Arial Narrow"/>
        <family val="2"/>
        <charset val="204"/>
      </rPr>
      <t>S7</t>
    </r>
    <r>
      <rPr>
        <sz val="11"/>
        <rFont val="Arial Narrow"/>
        <family val="2"/>
        <charset val="204"/>
      </rPr>
      <t xml:space="preserve"> (все цвета)</t>
    </r>
  </si>
  <si>
    <r>
      <rPr>
        <b/>
        <sz val="11"/>
        <rFont val="Arial Narrow"/>
        <family val="2"/>
        <charset val="204"/>
      </rPr>
      <t>БлокХаус</t>
    </r>
    <r>
      <rPr>
        <sz val="11"/>
        <rFont val="Arial Narrow"/>
        <family val="2"/>
        <charset val="204"/>
      </rPr>
      <t xml:space="preserve"> (все цвета)</t>
    </r>
  </si>
  <si>
    <t>Döcke PREMIUM Сайдинг Акриловый</t>
  </si>
  <si>
    <r>
      <t xml:space="preserve">Сайдинг </t>
    </r>
    <r>
      <rPr>
        <b/>
        <sz val="11"/>
        <rFont val="Arial Narrow"/>
        <family val="2"/>
        <charset val="204"/>
      </rPr>
      <t>D4,5D</t>
    </r>
    <r>
      <rPr>
        <sz val="11"/>
        <rFont val="Arial Narrow"/>
        <family val="2"/>
        <charset val="204"/>
      </rPr>
      <t xml:space="preserve"> (Ирис, Пралине)</t>
    </r>
  </si>
  <si>
    <t>Döcke PREMIUM Софиты</t>
  </si>
  <si>
    <r>
      <rPr>
        <b/>
        <sz val="11"/>
        <rFont val="Arial Narrow"/>
        <family val="2"/>
        <charset val="204"/>
      </rPr>
      <t>Софит</t>
    </r>
    <r>
      <rPr>
        <sz val="11"/>
        <rFont val="Arial Narrow"/>
        <family val="2"/>
        <charset val="204"/>
      </rPr>
      <t xml:space="preserve"> сплошной/ перфорированный/ c центральной перфорацией (</t>
    </r>
    <r>
      <rPr>
        <b/>
        <sz val="11"/>
        <rFont val="Arial Narrow"/>
        <family val="2"/>
        <charset val="204"/>
      </rPr>
      <t>Пломбир</t>
    </r>
    <r>
      <rPr>
        <sz val="11"/>
        <rFont val="Arial Narrow"/>
        <family val="2"/>
        <charset val="204"/>
      </rPr>
      <t>)</t>
    </r>
  </si>
  <si>
    <r>
      <rPr>
        <b/>
        <sz val="11"/>
        <rFont val="Arial Narrow"/>
        <family val="2"/>
        <charset val="204"/>
      </rPr>
      <t xml:space="preserve">Софит </t>
    </r>
    <r>
      <rPr>
        <sz val="11"/>
        <rFont val="Arial Narrow"/>
        <family val="2"/>
        <charset val="204"/>
      </rPr>
      <t>сплошной/ перфорированный/ c центральной перфорацией (</t>
    </r>
    <r>
      <rPr>
        <b/>
        <sz val="11"/>
        <rFont val="Arial Narrow"/>
        <family val="2"/>
        <charset val="204"/>
      </rPr>
      <t>Шоколад, Гранат, Каштан, Графит</t>
    </r>
    <r>
      <rPr>
        <sz val="11"/>
        <rFont val="Arial Narrow"/>
        <family val="2"/>
        <charset val="204"/>
      </rPr>
      <t>)</t>
    </r>
  </si>
  <si>
    <t>Döcke PREMIUM Аксессуары Виловые</t>
  </si>
  <si>
    <t>Окантовочный профиль (Пломбир)</t>
  </si>
  <si>
    <t>Околооконный профиль (все цвета, кроме Ирис, Пралине)</t>
  </si>
  <si>
    <r>
      <t>Финишный профиль (Шоколад, Гранат</t>
    </r>
    <r>
      <rPr>
        <sz val="11"/>
        <rFont val="Arial Narrow"/>
        <family val="2"/>
        <charset val="204"/>
      </rPr>
      <t>)</t>
    </r>
  </si>
  <si>
    <t>Финишный профиль  (все цвета, кроме  Шоколад, Гранат, Ирис, Пралине)</t>
  </si>
  <si>
    <t>Н-профиль (все цвета, кроме Шоколад, Гранат, Ирис, Пралине, Каштан, Графит)</t>
  </si>
  <si>
    <t>Н-профиль (Шоколад, Гранат, Каштан, Графит)</t>
  </si>
  <si>
    <t>Стартовый профиль (Пломбир)</t>
  </si>
  <si>
    <t>Внешний угол (все цвета, кроме Шоколад, Гранат, Ирис, Пралине)</t>
  </si>
  <si>
    <t>Внешний угол (Шоколад, Гранат)</t>
  </si>
  <si>
    <t>Внутренний угол (все цвета, кроме Шоколад, Гранат, Ирис, Пралине)</t>
  </si>
  <si>
    <t>Внутренний угол (Шоколад, Гранат)</t>
  </si>
  <si>
    <t>Наличник 75 мм.(Пломбир)</t>
  </si>
  <si>
    <t>Наличник 89 мм (Пломбир)</t>
  </si>
  <si>
    <t>Наличник 89 мм (Шоколад, Гранат)</t>
  </si>
  <si>
    <t>Откос 254 мм. (Пломбир)</t>
  </si>
  <si>
    <t>Откос 254 мм. (Шоколад, Гранат)</t>
  </si>
  <si>
    <t>J-фаска  (Пломбир)</t>
  </si>
  <si>
    <t>J-фаска  (Шоколад, Гранат)</t>
  </si>
  <si>
    <t>J-профиль  (все цвета, кроме Шоколад, Гранат, Ирис, Пралине, Каштан, Графит)</t>
  </si>
  <si>
    <t>J-профиль (Шоколад, Гранат, Каштан, Графит)</t>
  </si>
  <si>
    <t xml:space="preserve"> Молдинг (Пломбир)</t>
  </si>
  <si>
    <t>Молдинг (Шоколад, Гранат)</t>
  </si>
  <si>
    <t>Отлив (Пломбир)</t>
  </si>
  <si>
    <t>Гибкий J-профиль (Пломбир, Шоколад)</t>
  </si>
  <si>
    <t>Döcke PREMIUM Аксессуары Акриловые</t>
  </si>
  <si>
    <t>H-профиль (Ирис, Пралине)</t>
  </si>
  <si>
    <t>J-профиль (Ирис, Пралине)</t>
  </si>
  <si>
    <t>Внешний угол (Ирис, Пралине)</t>
  </si>
  <si>
    <t>Внутренний угол (Ирис, Пралине)</t>
  </si>
  <si>
    <t>Околооконный профиль (Ирис, Пралине)</t>
  </si>
  <si>
    <t>Финишный (Ирис, Пралине)</t>
  </si>
  <si>
    <t>Для Торгующих и Кровельных Организаций</t>
  </si>
  <si>
    <t>Фасадные панели Döcke</t>
  </si>
  <si>
    <r>
      <t>Панель</t>
    </r>
    <r>
      <rPr>
        <b/>
        <sz val="11"/>
        <rFont val="Arial Narrow"/>
        <family val="2"/>
        <charset val="204"/>
      </rPr>
      <t xml:space="preserve"> EDEL </t>
    </r>
    <r>
      <rPr>
        <sz val="11"/>
        <rFont val="Arial Narrow"/>
        <family val="2"/>
        <charset val="204"/>
      </rPr>
      <t>(все цвета)</t>
    </r>
  </si>
  <si>
    <r>
      <t xml:space="preserve">Панель </t>
    </r>
    <r>
      <rPr>
        <b/>
        <sz val="11"/>
        <rFont val="Arial Narrow"/>
        <family val="2"/>
        <charset val="204"/>
      </rPr>
      <t>BERG</t>
    </r>
    <r>
      <rPr>
        <sz val="11"/>
        <rFont val="Arial Narrow"/>
        <family val="2"/>
        <charset val="204"/>
      </rPr>
      <t xml:space="preserve"> (все цвета)</t>
    </r>
  </si>
  <si>
    <r>
      <t xml:space="preserve">Панель </t>
    </r>
    <r>
      <rPr>
        <b/>
        <sz val="11"/>
        <rFont val="Arial Narrow"/>
        <family val="2"/>
        <charset val="204"/>
      </rPr>
      <t>BURG</t>
    </r>
    <r>
      <rPr>
        <sz val="11"/>
        <rFont val="Arial Narrow"/>
        <family val="2"/>
        <charset val="204"/>
      </rPr>
      <t xml:space="preserve"> (все цвета)</t>
    </r>
  </si>
  <si>
    <r>
      <t xml:space="preserve">Панель </t>
    </r>
    <r>
      <rPr>
        <b/>
        <sz val="11"/>
        <rFont val="Arial Narrow"/>
        <family val="2"/>
        <charset val="204"/>
      </rPr>
      <t>STEIN</t>
    </r>
    <r>
      <rPr>
        <sz val="11"/>
        <rFont val="Arial Narrow"/>
        <family val="2"/>
        <charset val="204"/>
      </rPr>
      <t xml:space="preserve"> (все цвета)</t>
    </r>
  </si>
  <si>
    <r>
      <t xml:space="preserve">Панель </t>
    </r>
    <r>
      <rPr>
        <b/>
        <sz val="11"/>
        <rFont val="Arial Narrow"/>
        <family val="2"/>
        <charset val="204"/>
      </rPr>
      <t>FELS</t>
    </r>
    <r>
      <rPr>
        <sz val="11"/>
        <rFont val="Arial Narrow"/>
        <family val="2"/>
        <charset val="204"/>
      </rPr>
      <t xml:space="preserve"> (все цвета)</t>
    </r>
  </si>
  <si>
    <r>
      <t>Панель</t>
    </r>
    <r>
      <rPr>
        <b/>
        <sz val="11"/>
        <rFont val="Arial Narrow"/>
        <family val="2"/>
        <charset val="204"/>
      </rPr>
      <t xml:space="preserve"> STERN</t>
    </r>
    <r>
      <rPr>
        <sz val="11"/>
        <rFont val="Arial Narrow"/>
        <family val="2"/>
        <charset val="204"/>
      </rPr>
      <t xml:space="preserve"> (все цвета)</t>
    </r>
  </si>
  <si>
    <t>Углы к фасадным панелям Döcke</t>
  </si>
  <si>
    <r>
      <t xml:space="preserve">Угол </t>
    </r>
    <r>
      <rPr>
        <b/>
        <sz val="11"/>
        <rFont val="Arial Narrow"/>
        <family val="2"/>
        <charset val="204"/>
      </rPr>
      <t xml:space="preserve"> EDEL</t>
    </r>
  </si>
  <si>
    <r>
      <t xml:space="preserve">Угол </t>
    </r>
    <r>
      <rPr>
        <b/>
        <sz val="11"/>
        <rFont val="Arial Narrow"/>
        <family val="2"/>
        <charset val="204"/>
      </rPr>
      <t xml:space="preserve">BERG </t>
    </r>
  </si>
  <si>
    <r>
      <t xml:space="preserve">Угол </t>
    </r>
    <r>
      <rPr>
        <b/>
        <sz val="11"/>
        <rFont val="Arial Narrow"/>
        <family val="2"/>
        <charset val="204"/>
      </rPr>
      <t>BURG</t>
    </r>
  </si>
  <si>
    <r>
      <t xml:space="preserve">Угол </t>
    </r>
    <r>
      <rPr>
        <b/>
        <sz val="11"/>
        <rFont val="Arial Narrow"/>
        <family val="2"/>
        <charset val="204"/>
      </rPr>
      <t>STEIN</t>
    </r>
  </si>
  <si>
    <r>
      <t>Угол</t>
    </r>
    <r>
      <rPr>
        <b/>
        <sz val="11"/>
        <rFont val="Arial Narrow"/>
        <family val="2"/>
        <charset val="204"/>
      </rPr>
      <t xml:space="preserve"> FELS</t>
    </r>
  </si>
  <si>
    <r>
      <t>Угол</t>
    </r>
    <r>
      <rPr>
        <b/>
        <sz val="11"/>
        <rFont val="Arial Narrow"/>
        <family val="2"/>
        <charset val="204"/>
      </rPr>
      <t xml:space="preserve"> STERN</t>
    </r>
  </si>
  <si>
    <t>Аксессуары к фасадным панелям Döcke</t>
  </si>
  <si>
    <r>
      <t xml:space="preserve">Фасадный внутренний угол </t>
    </r>
    <r>
      <rPr>
        <b/>
        <sz val="11"/>
        <rFont val="Arial Narrow"/>
        <family val="2"/>
        <charset val="204"/>
      </rPr>
      <t>(Агатовый, Слоновая кость, Палевый, Бежевый, Каштановый)</t>
    </r>
  </si>
  <si>
    <r>
      <t xml:space="preserve">Фасадный внутренний угол </t>
    </r>
    <r>
      <rPr>
        <b/>
        <sz val="11"/>
        <rFont val="Arial Narrow"/>
        <family val="2"/>
        <charset val="204"/>
      </rPr>
      <t>Дымчатый</t>
    </r>
  </si>
  <si>
    <r>
      <t xml:space="preserve">Стартовый угол </t>
    </r>
    <r>
      <rPr>
        <b/>
        <sz val="11"/>
        <rFont val="Arial Narrow"/>
        <family val="2"/>
        <charset val="204"/>
      </rPr>
      <t>BERG, EDEL</t>
    </r>
  </si>
  <si>
    <r>
      <t xml:space="preserve">Стартовый угол </t>
    </r>
    <r>
      <rPr>
        <b/>
        <sz val="11"/>
        <rFont val="Arial Narrow"/>
        <family val="2"/>
        <charset val="204"/>
      </rPr>
      <t>BURG, STEIN, STERN, FELS</t>
    </r>
  </si>
  <si>
    <t>Фасадный J-профиль 30мм</t>
  </si>
  <si>
    <t>Фасадный J-профиль 30мм, Табачный</t>
  </si>
  <si>
    <t>Фасадный L-профиль 35мм</t>
  </si>
  <si>
    <t>Фасадный L-профиль 35мм Дымчатый</t>
  </si>
  <si>
    <t>Фасадный околооконный профиль 230мм</t>
  </si>
  <si>
    <t>Бордюр универсальный</t>
  </si>
  <si>
    <t>Угловая накладка для бордюра</t>
  </si>
  <si>
    <t>Базовая планка</t>
  </si>
  <si>
    <t>Стартовый металлический профиль Döcke</t>
  </si>
  <si>
    <t>Стартовый металлический</t>
  </si>
  <si>
    <t>Цена для Торгующих и Кровельных Организаций</t>
  </si>
  <si>
    <t>Водосточная система Döcke PREMIUM(бывший Standart)</t>
  </si>
  <si>
    <t>Желоб водосточный 3000 мм Пломбир</t>
  </si>
  <si>
    <t>Желоб водосточный 3000 мм Шоколад, Гранат, Каштан</t>
  </si>
  <si>
    <t>Труба водосточная 3000 мм Пломбир / 1000мм Пломбир</t>
  </si>
  <si>
    <t>380,87/146,00</t>
  </si>
  <si>
    <t>489,68/187,71</t>
  </si>
  <si>
    <t>544,09/208,57</t>
  </si>
  <si>
    <t>Труба водосточная 3000 мм Шоколад, Гранат, Каштан / 1000м Шоколад</t>
  </si>
  <si>
    <t>418,96/160,60</t>
  </si>
  <si>
    <t>538,66/206,49</t>
  </si>
  <si>
    <t>598,51/229,43</t>
  </si>
  <si>
    <t>Соединитель желобов Пломбир</t>
  </si>
  <si>
    <t>Соединитель желобов Шоколад, Гранат, Каштан</t>
  </si>
  <si>
    <t>Муфта соединительная Пломбир</t>
  </si>
  <si>
    <t>Муфта соединительная Шоколад, Гранат, Каштан</t>
  </si>
  <si>
    <t>Угловой элемент желоба 90° универсальный Пломбир</t>
  </si>
  <si>
    <t>Угловой элемент желоба 90° универсальный Шоколад, Гранат, Каштан</t>
  </si>
  <si>
    <t>Угловой элемент желоба 135° Пломбир</t>
  </si>
  <si>
    <t>Угловой элемент желоба 135° Шоколад, Гранат, Каштан</t>
  </si>
  <si>
    <t>Заглушка желоба Пломбир</t>
  </si>
  <si>
    <t>Заглушка желоба Шоколад, Гранат, Каштан</t>
  </si>
  <si>
    <t>Заглушка воронки Пломбир</t>
  </si>
  <si>
    <t>Заглушка воронки Шоколад, Гранат, Каштан</t>
  </si>
  <si>
    <t>Крепление регулируемое для кронштейна желоба Пломбир</t>
  </si>
  <si>
    <t>Крепление регулируемое для кронштейна желоба Шоколад, Каштан</t>
  </si>
  <si>
    <t>Кронштейн желоба Пломбир</t>
  </si>
  <si>
    <t>Кронштейн желоба Шоколад, Гранат, Каштан</t>
  </si>
  <si>
    <t>Воронка Пломбир</t>
  </si>
  <si>
    <t>Воронка Шоколад, Гранат, Каштан</t>
  </si>
  <si>
    <t>Колено 45° Пломбир</t>
  </si>
  <si>
    <t>Колено 45° Шоколад, Гранат, Каштан</t>
  </si>
  <si>
    <t>Колено 72° Пломбир</t>
  </si>
  <si>
    <t>Колено 72° Шоколад, Гранат, Каштан</t>
  </si>
  <si>
    <t>Хомут универсальный Пломбир</t>
  </si>
  <si>
    <t>Хомут универсальный Шоколад, Гранат, Каштан</t>
  </si>
  <si>
    <t>Наконечник Пломбир</t>
  </si>
  <si>
    <t>Наконечник Шоколад, Гранат, Каштан</t>
  </si>
  <si>
    <t>Сетка защитная Пломбир</t>
  </si>
  <si>
    <t>Сетка защитная Шоколад, Гранат, Каштан</t>
  </si>
  <si>
    <t>Кронштейн желоба металлический 300 мм Пломбир</t>
  </si>
  <si>
    <t>Кронштейн желоба металлический 300 мм Шоколад, Гранат, Каштан</t>
  </si>
  <si>
    <t>Шпилька специальная с гайкой 120 мм  (оцинкованная)</t>
  </si>
  <si>
    <t>Коллекции Сайдинга</t>
  </si>
  <si>
    <t>Рисунок</t>
  </si>
  <si>
    <t>Кол-во шт. в упаковке</t>
  </si>
  <si>
    <t>цвет</t>
  </si>
  <si>
    <t>Цена, руб.</t>
  </si>
  <si>
    <t>м</t>
  </si>
  <si>
    <t>м 2</t>
  </si>
  <si>
    <t xml:space="preserve">Сайдинг 3,6 GL Amerika D4,4 </t>
  </si>
  <si>
    <r>
      <t xml:space="preserve">бежевый, ванильный, персиковый, салатовый, серый, белый, кремовый, голубой, Золотой песок, </t>
    </r>
    <r>
      <rPr>
        <b/>
        <sz val="8"/>
        <color indexed="10"/>
        <rFont val="Arial"/>
        <family val="2"/>
        <charset val="204"/>
      </rPr>
      <t>Слоновая кость</t>
    </r>
  </si>
  <si>
    <t>Карамельный**,  Темно-бежевый**</t>
  </si>
  <si>
    <t>мореный дуб</t>
  </si>
  <si>
    <t>Сайдинг 3,0 GL Amerika D4 (slim)</t>
  </si>
  <si>
    <r>
      <t>бежевый, ванильный, персиковый, салатовый, белый, кремовый, Золотой песок</t>
    </r>
    <r>
      <rPr>
        <b/>
        <sz val="8"/>
        <color indexed="10"/>
        <rFont val="Arial"/>
        <family val="2"/>
        <charset val="204"/>
      </rPr>
      <t>,Слоновая кость</t>
    </r>
  </si>
  <si>
    <t>карамельный, темно-бежевый</t>
  </si>
  <si>
    <t>Блок-хаус</t>
  </si>
  <si>
    <t>Блок-хаус 3,0 GL Amerika D4,8</t>
  </si>
  <si>
    <r>
      <t xml:space="preserve">ваниль, бежевый, </t>
    </r>
    <r>
      <rPr>
        <sz val="10"/>
        <color indexed="10"/>
        <rFont val="Arial"/>
        <family val="2"/>
        <charset val="204"/>
      </rPr>
      <t>слоновая кость</t>
    </r>
  </si>
  <si>
    <t>Софиты Т4</t>
  </si>
  <si>
    <t>Софит белый (гладкий, перфорированный)</t>
  </si>
  <si>
    <t>белый</t>
  </si>
  <si>
    <t>Софит коричневый (гладкий, перфорированный)</t>
  </si>
  <si>
    <t>коричневый</t>
  </si>
  <si>
    <t>Софит Premium Estetic</t>
  </si>
  <si>
    <t xml:space="preserve">Premium Софит со скрытой перфорацией GL Estetic 3,0 </t>
  </si>
  <si>
    <t>Доборные элементы</t>
  </si>
  <si>
    <t>Н-профиль соединительный</t>
  </si>
  <si>
    <t>белый, цветной</t>
  </si>
  <si>
    <t>J-профиль</t>
  </si>
  <si>
    <t>Финишная планка</t>
  </si>
  <si>
    <t>Молдинг</t>
  </si>
  <si>
    <t>Окантовочная планка</t>
  </si>
  <si>
    <t>белый, бежевый, ванильный, салатовый</t>
  </si>
  <si>
    <t>Стартовая планка</t>
  </si>
  <si>
    <t>Внешний угол</t>
  </si>
  <si>
    <t>Внутренний угол</t>
  </si>
  <si>
    <t xml:space="preserve">J-фаска (ветровая доска) </t>
  </si>
  <si>
    <t>J-профиль широкий (наличник)</t>
  </si>
  <si>
    <t>Приоконная планка</t>
  </si>
  <si>
    <t>Сливная планка</t>
  </si>
  <si>
    <t xml:space="preserve">Оптовый прайс-лист </t>
  </si>
  <si>
    <t>Общая ширина (рабочая), мм</t>
  </si>
  <si>
    <t>Вид покрытия и толщина, мм</t>
  </si>
  <si>
    <t>Цинк</t>
  </si>
  <si>
    <t>ЛКПОЦ-1</t>
  </si>
  <si>
    <t>кв.м</t>
  </si>
  <si>
    <t>Металлочерепица "Супермонтеррей"</t>
  </si>
  <si>
    <t>1190 (1100)</t>
  </si>
  <si>
    <t>0,45 стандарт</t>
  </si>
  <si>
    <t>0,45 не стандарт</t>
  </si>
  <si>
    <t>Металлочерепица "Каскад"</t>
  </si>
  <si>
    <t>1150 (1050)</t>
  </si>
  <si>
    <t>С-8</t>
  </si>
  <si>
    <t>1200 (1150)</t>
  </si>
  <si>
    <t>*</t>
  </si>
  <si>
    <t>0,45 двусторонний</t>
  </si>
  <si>
    <t>от 0,55 до 0,7</t>
  </si>
  <si>
    <t>С-10 (А,B); С-20 R</t>
  </si>
  <si>
    <t>1160 (1100)</t>
  </si>
  <si>
    <t>-</t>
  </si>
  <si>
    <t>С-10 (А,B); Равнополочная</t>
  </si>
  <si>
    <t>1180 (1100)</t>
  </si>
  <si>
    <t>C-21</t>
  </si>
  <si>
    <t>1051 (1000)</t>
  </si>
  <si>
    <t>Плоский лист</t>
  </si>
  <si>
    <t>Защитная пленка для плоского листа</t>
  </si>
  <si>
    <t xml:space="preserve">Металл толщиной 0,45 стандарт  RAL 3005, 6005, 8017, 5005, 9003 </t>
  </si>
  <si>
    <t>Металл толщиной 0,45 мм не стандарт RAL 3011, 3009, 6002, 5002, 1014, 5021, 7004,9002,9006</t>
  </si>
  <si>
    <t>Производство Завода МЕТАЛЛ-ГАРАНТ (г. Липецк)</t>
  </si>
  <si>
    <t>прайс без учета доставки</t>
  </si>
  <si>
    <t>Наименование товара</t>
  </si>
  <si>
    <t>Размеры</t>
  </si>
  <si>
    <t>упаковка</t>
  </si>
  <si>
    <t>роничная цена</t>
  </si>
  <si>
    <t>Панель  SX-05 System MAX-3</t>
  </si>
  <si>
    <t>мм</t>
  </si>
  <si>
    <t>ясень, дуб, бук</t>
  </si>
  <si>
    <t>3850 *250</t>
  </si>
  <si>
    <t>10 шт</t>
  </si>
  <si>
    <t>дуб золотой</t>
  </si>
  <si>
    <t>Комплектующие System MAX-3</t>
  </si>
  <si>
    <t>угол внешний</t>
  </si>
  <si>
    <t>3,05 м</t>
  </si>
  <si>
    <t>5 шт</t>
  </si>
  <si>
    <t>угол внутренний</t>
  </si>
  <si>
    <t xml:space="preserve"> 3,05 м  </t>
  </si>
  <si>
    <t xml:space="preserve">J-планка </t>
  </si>
  <si>
    <t>планка соединительная</t>
  </si>
  <si>
    <t>Панель SV-01 Unicolor</t>
  </si>
  <si>
    <t>3,85 м</t>
  </si>
  <si>
    <t>светло-серый,бежевый,кремовый,светло-зеленый,желтый,песочный,янтарный</t>
  </si>
  <si>
    <t>Панель SV-05 Unicolor(внешний вид MAX-3)</t>
  </si>
  <si>
    <t>белый, светло-серый,бежевый,кремовый</t>
  </si>
  <si>
    <t>Комплектующие Unicolor</t>
  </si>
  <si>
    <t>планка стартовая белая</t>
  </si>
  <si>
    <t>угол внешний белый</t>
  </si>
  <si>
    <t>угол внешний цветной</t>
  </si>
  <si>
    <t>угол внутренний белый</t>
  </si>
  <si>
    <t>угол внутренний цветной</t>
  </si>
  <si>
    <t>планка финишная белая</t>
  </si>
  <si>
    <t>планка финишная цветная</t>
  </si>
  <si>
    <t>j-планка белая</t>
  </si>
  <si>
    <t>j-планка цветная</t>
  </si>
  <si>
    <t>приоконная планка белая</t>
  </si>
  <si>
    <t>приоконная планка цветная</t>
  </si>
  <si>
    <t xml:space="preserve">планка соединительная белая </t>
  </si>
  <si>
    <t>планка соединительная цветная</t>
  </si>
  <si>
    <t>планка фасадная белая</t>
  </si>
  <si>
    <t>планка фасадная коричневая</t>
  </si>
  <si>
    <t>Панель Nature SVP-01</t>
  </si>
  <si>
    <t>сосна,дуб натуральный,дуб серый</t>
  </si>
  <si>
    <t>Золотой дуб</t>
  </si>
  <si>
    <t xml:space="preserve">3,85 м </t>
  </si>
  <si>
    <t>Панель Nature SVP-05 (внешний вид MAX-3)</t>
  </si>
  <si>
    <t>дуб золотой,</t>
  </si>
  <si>
    <t>дуб мореный</t>
  </si>
  <si>
    <t>Комплектующие Nature</t>
  </si>
  <si>
    <t xml:space="preserve">угол внешний </t>
  </si>
  <si>
    <t>планка финишная</t>
  </si>
  <si>
    <t xml:space="preserve">Планка соединительная </t>
  </si>
  <si>
    <t>САЙДИНГ VOX          от 02.04.2019</t>
  </si>
  <si>
    <t>Цокольный сайдинг Я-Фасад прайс от 01.04.2019</t>
  </si>
  <si>
    <r>
      <t>Панели термоформованные "Я-фасад"</t>
    </r>
    <r>
      <rPr>
        <sz val="10"/>
        <rFont val="Arial"/>
        <family val="2"/>
        <charset val="204"/>
      </rPr>
      <t xml:space="preserve"> </t>
    </r>
    <r>
      <rPr>
        <b/>
        <sz val="10"/>
        <color indexed="10"/>
        <rFont val="Arial"/>
        <family val="2"/>
        <charset val="204"/>
      </rPr>
      <t>NEW</t>
    </r>
  </si>
  <si>
    <t>Внешний вид</t>
  </si>
  <si>
    <t>Размеры, мм</t>
  </si>
  <si>
    <t>Цвета</t>
  </si>
  <si>
    <t>Цена, руб/шт</t>
  </si>
  <si>
    <t>Панель GL Я-фасад 
Крымский сланец</t>
  </si>
  <si>
    <t>Габаритные: длина - 1550, высота - 338
Рабочие: длина - 1487, высота -306</t>
  </si>
  <si>
    <t xml:space="preserve">Янтарный </t>
  </si>
  <si>
    <t>Габаритные: длина - 1535, высота - 345
Рабочие: длина - 1476, высота - 312</t>
  </si>
  <si>
    <t>Лунный камень, Яшма, песок</t>
  </si>
  <si>
    <r>
      <t xml:space="preserve">Панель фасадная GL "Я-фасад" 
</t>
    </r>
    <r>
      <rPr>
        <b/>
        <sz val="10"/>
        <rFont val="Arial Cyr"/>
        <charset val="204"/>
      </rPr>
      <t xml:space="preserve">Екатерининский камень </t>
    </r>
  </si>
  <si>
    <t>Габаритные: длина - 1407, высота - 327
Рабочие: длина - 1322, высота - 294</t>
  </si>
  <si>
    <t>янтарь, бронза, графит, железо, серебро, слоновая кость</t>
  </si>
  <si>
    <r>
      <t xml:space="preserve">Панель фасадная GL "Я-фасад" 
</t>
    </r>
    <r>
      <rPr>
        <b/>
        <sz val="10"/>
        <rFont val="Arial Cyr"/>
        <charset val="204"/>
      </rPr>
      <t xml:space="preserve">Демидовский кирпич </t>
    </r>
  </si>
  <si>
    <t>Габаритные: длина - 1495, высота - 335
Рабочие: длина - 1475, высота - 306</t>
  </si>
  <si>
    <t>янтарь, песок, бронза, красный, слоновая кость</t>
  </si>
  <si>
    <r>
      <t>Панель фасадная GL " Я -фасад"  "</t>
    </r>
    <r>
      <rPr>
        <b/>
        <sz val="10"/>
        <rFont val="Arial Cyr"/>
        <charset val="204"/>
      </rPr>
      <t>Скала"</t>
    </r>
    <r>
      <rPr>
        <sz val="10"/>
        <rFont val="Arial Cyr"/>
        <charset val="204"/>
      </rPr>
      <t xml:space="preserve"> </t>
    </r>
    <r>
      <rPr>
        <b/>
        <sz val="10"/>
        <color indexed="10"/>
        <rFont val="Arial Cyr"/>
        <charset val="204"/>
      </rPr>
      <t xml:space="preserve">NEW </t>
    </r>
  </si>
  <si>
    <t xml:space="preserve">Габаритные : длина 1535 , высота 345 Рабочие : длинна 1476. высота 312      </t>
  </si>
  <si>
    <t>жемчуг, слоновая кость</t>
  </si>
  <si>
    <t xml:space="preserve">420 руб/ 395 руб                     </t>
  </si>
  <si>
    <t>Стартовый элемент для фасадной панели GL</t>
  </si>
  <si>
    <t>Расход в среднем 4 шт на 1,5 п.м. периметра дома</t>
  </si>
  <si>
    <t>16 руб</t>
  </si>
  <si>
    <t>Длина, м</t>
  </si>
  <si>
    <t>бежевый</t>
  </si>
  <si>
    <t>ванильный</t>
  </si>
  <si>
    <t>карамельный</t>
  </si>
  <si>
    <t>темный дуб</t>
  </si>
  <si>
    <t>Декоративная система GL Я-фасад</t>
  </si>
  <si>
    <t>Планка (наличник) наборная для составного угла 3,0</t>
  </si>
  <si>
    <t>Планка приоконная широкая 7/8'' 3,0</t>
  </si>
  <si>
    <t>Планка радиусная для составного угла 3,0</t>
  </si>
  <si>
    <t>Профиль универсальный J 7/8'' 3,00</t>
  </si>
  <si>
    <t>Угол прямой GL Яфасад 3.0</t>
  </si>
  <si>
    <t>Цена со склада</t>
  </si>
  <si>
    <t>Цена  на заводе</t>
  </si>
  <si>
    <t>Цена руб/м2, со склада                   с НДС</t>
  </si>
  <si>
    <t xml:space="preserve">Döcke PIE. Гибкая черепица с битумной сваркой гонтов. </t>
  </si>
  <si>
    <t>Для Кровельных и Торгующих Баз</t>
  </si>
  <si>
    <t>Рекомендуемые розничные цены</t>
  </si>
  <si>
    <t>Гибкая черепица Döcke PIE EUROPA/ KARAT/ Зеленый, Коричневый, Красный, Серый</t>
  </si>
  <si>
    <t>Гибкая черепица Döcke PIE EUROPA/ MATRIX/ Зеленый, Коричневый, Красный</t>
  </si>
  <si>
    <t>Гибкая черепица Döcke PIE EUROPA/ CUPOLA/ Зеленый, Коричневый, Красный</t>
  </si>
  <si>
    <t>Гибкая черепица Döcke PIE EUROPA/ SLATE/ Коричневый, Серый</t>
  </si>
  <si>
    <t xml:space="preserve">Гибкая черепица Döcke PIE STANDARD/ СОТА/ Зеленый, Коричневый, Красный, Серый </t>
  </si>
  <si>
    <t>Гибкая черепица Döcke PIE STANDARD/ ТЕТРИС/ Красный, Коричневый, Зеленый</t>
  </si>
  <si>
    <t xml:space="preserve">Гибкая черепица Döcke PIE STANDARD/ КОЛЬЧУГА/ Зеленый, Красный, Коричневый </t>
  </si>
  <si>
    <t xml:space="preserve">Гибкая черепица Döcke PIE STANDARD/ КРОНА/ Красный, Коричневый, Серый </t>
  </si>
  <si>
    <t xml:space="preserve">Коньково-карнизная черепица Döcke PIE STANDARD/ Зеленый, Коричневый, Красный, Серый </t>
  </si>
  <si>
    <t>Гибкая черепица Döcke PIE PREMIUM/ НИЦЦА/ Какао, Кофе, Клубника, Фладен</t>
  </si>
  <si>
    <t>995,51р.</t>
  </si>
  <si>
    <t>1 137,73р.</t>
  </si>
  <si>
    <t>1 292,87р.</t>
  </si>
  <si>
    <t>Гибкая черепица Döcke PIE PREMIUM/ КЁЛЬН/ Имбирь, Корица, Мята, Чернослив</t>
  </si>
  <si>
    <t>1 188,81р.</t>
  </si>
  <si>
    <t>1 358,64р.</t>
  </si>
  <si>
    <t>1 543,91р.</t>
  </si>
  <si>
    <t>Гибкая черепица Döcke PIE PREMIUM/ ШЕФФИЛД/ Бисквит, Кофе, Миндаль, Клубника</t>
  </si>
  <si>
    <t>1 224,48р.</t>
  </si>
  <si>
    <t>1 399,40р.</t>
  </si>
  <si>
    <t>1 590,23р.</t>
  </si>
  <si>
    <t xml:space="preserve">Гибкая черепица Döcke PIE PREMIUM/ ГРАНАДА/ Какао, Кофе, Кунжут, Инжир </t>
  </si>
  <si>
    <t>Гибкая черепица Döcke PIE PREMIUM/ ГЕНУЯ/ Амаретто, Трюфель, Канноли, Мускат</t>
  </si>
  <si>
    <t>Гибкая черепица Döcke PIE PREMIUM/ ЛЬЕЖ/  Грильяж, Ирис, Барбарис , Изюм</t>
  </si>
  <si>
    <t>1 412,67р.</t>
  </si>
  <si>
    <t>1 614,48р.</t>
  </si>
  <si>
    <t>1 834,64р.</t>
  </si>
  <si>
    <t xml:space="preserve">Гибкая черепица Döcke PIE PREMIUM/ ЦЮРИХ/ Арахис, Кофе, Чили, Фладен, Изюм </t>
  </si>
  <si>
    <t>1 479,94р.</t>
  </si>
  <si>
    <t>1 691,36р.</t>
  </si>
  <si>
    <t>1 922,00р.</t>
  </si>
  <si>
    <t xml:space="preserve">Гибкая черепица Döcke PIE PREMIUM/ ЖЕНЕВА/ Арахис, Кофе, Чили, Фладен, Изюм </t>
  </si>
  <si>
    <t>1 535,56р.</t>
  </si>
  <si>
    <t>1 754,93р.</t>
  </si>
  <si>
    <t>1 994,24р.</t>
  </si>
  <si>
    <t>Гибкая черепица Döcke PIE PREMIUM/ САППОРО/ Вагаси, Кофе, Мускат, Слива</t>
  </si>
  <si>
    <t>1 398,57р.</t>
  </si>
  <si>
    <t>1 598,37р.</t>
  </si>
  <si>
    <t>1 816,33р.</t>
  </si>
  <si>
    <t>Коньково-карнизная черепица Döcke PIE PREMIUM/ Все цвета</t>
  </si>
  <si>
    <t>2 585,79р.</t>
  </si>
  <si>
    <t>2 955,19р.</t>
  </si>
  <si>
    <t>3 358,17р.</t>
  </si>
  <si>
    <t>Ендовый ковер Döcke PIE/ 1000/  Все цвета</t>
  </si>
  <si>
    <t>3 476,67р.</t>
  </si>
  <si>
    <t>4 063,64р.</t>
  </si>
  <si>
    <t>4 515,15р.</t>
  </si>
  <si>
    <t>Подкладочный ковер STANDARD , 15 м</t>
  </si>
  <si>
    <t>862,05р.</t>
  </si>
  <si>
    <t>1 007,59р.</t>
  </si>
  <si>
    <t>1 119,55р.</t>
  </si>
  <si>
    <t>Подкладочный ковер STANDARD PLUS , 15 м</t>
  </si>
  <si>
    <t>909,13р.</t>
  </si>
  <si>
    <t>1 062,61р.</t>
  </si>
  <si>
    <t>1 180,68р.</t>
  </si>
  <si>
    <t>Подкладочный ковер СOMFORT GLASS, 30 м, SBS модифицированный</t>
  </si>
  <si>
    <t>2 241,75р.</t>
  </si>
  <si>
    <t>2 620,23р.</t>
  </si>
  <si>
    <t>2 911,36р.</t>
  </si>
  <si>
    <t>Подкладочный ковер СOMFORT GLASS, 15 м, SBS модифицированный</t>
  </si>
  <si>
    <t>1 120,88р.</t>
  </si>
  <si>
    <t>1 310,11р.</t>
  </si>
  <si>
    <t>1 455,68р.</t>
  </si>
  <si>
    <t>Подкладочный ковер СOMFORT, 40 м, SBS модифицированный</t>
  </si>
  <si>
    <t>3 634,40р.</t>
  </si>
  <si>
    <t>4 248,00р.</t>
  </si>
  <si>
    <t>4 720,00р.</t>
  </si>
  <si>
    <t>Подкладочный ковёр FIX GLASS, 30 м, самоклеящийся, SBS модифицированный</t>
  </si>
  <si>
    <t>3 636,15р.</t>
  </si>
  <si>
    <t>4 250,05р.</t>
  </si>
  <si>
    <t>4 722,27р.</t>
  </si>
  <si>
    <t>Подкладочный ковёр FIX PLAST, 15 м, самоклеящийся, SBS модифицированный</t>
  </si>
  <si>
    <t>2 342,90р.</t>
  </si>
  <si>
    <t>2 738,45р.</t>
  </si>
  <si>
    <t>3 042,73р.</t>
  </si>
  <si>
    <t>110,41р.</t>
  </si>
  <si>
    <t>129,05р.</t>
  </si>
  <si>
    <t>143,39р.</t>
  </si>
  <si>
    <t>676,90р.</t>
  </si>
  <si>
    <t>791,18р.</t>
  </si>
  <si>
    <t>879,09р.</t>
  </si>
  <si>
    <t>1 314,25р.</t>
  </si>
  <si>
    <t>1 536,14р.</t>
  </si>
  <si>
    <t>1 706,82р.</t>
  </si>
  <si>
    <t>710,85р.</t>
  </si>
  <si>
    <t>830,86р.</t>
  </si>
  <si>
    <t>923,18р.</t>
  </si>
  <si>
    <t>2 924,25р.</t>
  </si>
  <si>
    <t>3 417,95р.</t>
  </si>
  <si>
    <t>3 797,73р.</t>
  </si>
  <si>
    <t>Планка карнизная RAL 8017(коричневый), 3009(красный), 6005(зеленый), 7024(серый)</t>
  </si>
  <si>
    <t>Планка торцевая RAL 8017(коричневый), 3009(красный), 6005(зеленый), 7024(серый)</t>
  </si>
  <si>
    <t>Планка примыкания RAL 8017(коричневый), 3009(красный), 6005(зеленый), 7024(серый)</t>
  </si>
  <si>
    <r>
      <t xml:space="preserve">Прайс-лист для ЦФО (Белгородская, Воронежская, Курская, Липецкая, Орловская, Тамбовская области) - </t>
    </r>
    <r>
      <rPr>
        <b/>
        <sz val="11"/>
        <color rgb="FFFF0000"/>
        <rFont val="Arial Narrow"/>
        <family val="2"/>
        <charset val="204"/>
      </rPr>
      <t xml:space="preserve">2019 </t>
    </r>
  </si>
  <si>
    <t>Действует с 08.04.2019</t>
  </si>
  <si>
    <t>ООО "ЦЕНТР-ТИМ"   Платонов Иван 89536104242  centrtim57@mail.ru  11/04/19</t>
  </si>
  <si>
    <t>Döcke PIE. Кровельная вентиляция.</t>
  </si>
  <si>
    <t>Цена                                    для типового Дилера</t>
  </si>
  <si>
    <t>Аэратор коньковый Döcke PIE, 1 п.м.</t>
  </si>
  <si>
    <t>389,08р.</t>
  </si>
  <si>
    <t>454,77р.</t>
  </si>
  <si>
    <t>505,30р.</t>
  </si>
  <si>
    <t>Фильтр для конькового аэратора Döcke, уп=12 шт</t>
  </si>
  <si>
    <t>63,25р.</t>
  </si>
  <si>
    <t>73,93р.</t>
  </si>
  <si>
    <t>82,15р.</t>
  </si>
  <si>
    <t>Аэратор точечный Döcke PIE NEXT, все цвета</t>
  </si>
  <si>
    <t>1 219,98р.</t>
  </si>
  <si>
    <t>1 382,65р.</t>
  </si>
  <si>
    <t>1 626,64р.</t>
  </si>
  <si>
    <t>Аэратор точечный Döcke PIE ROOT, все цвета</t>
  </si>
  <si>
    <t>799,30р.</t>
  </si>
  <si>
    <t>905,87р.</t>
  </si>
  <si>
    <t>1 065,73р.</t>
  </si>
  <si>
    <t>Аэратор точечный Döcke PIE MONTERREY, все цвета</t>
  </si>
  <si>
    <t xml:space="preserve">Сайдинг DÖCKE LUX. </t>
  </si>
  <si>
    <t xml:space="preserve">Döcke LUX Сайдинг </t>
  </si>
  <si>
    <t>Сайдинг D4,5D (все цвета)</t>
  </si>
  <si>
    <t>296,82р.</t>
  </si>
  <si>
    <t>319,37р.</t>
  </si>
  <si>
    <t>375,72р.</t>
  </si>
  <si>
    <t>БлокХаус (все цвета)</t>
  </si>
  <si>
    <t>307,30р.</t>
  </si>
  <si>
    <t>330,64р.</t>
  </si>
  <si>
    <t>388,99р.</t>
  </si>
  <si>
    <t>Брус D6S (все цвета)</t>
  </si>
  <si>
    <t>384,12р.</t>
  </si>
  <si>
    <t>413,30р.</t>
  </si>
  <si>
    <t>486,23р.</t>
  </si>
  <si>
    <t>Döcke LUX Софиты</t>
  </si>
  <si>
    <t>Софит с центральной перфорацией (Все цвета)</t>
  </si>
  <si>
    <t>501,64р.</t>
  </si>
  <si>
    <t>551,80р.</t>
  </si>
  <si>
    <t>627,05р.</t>
  </si>
  <si>
    <t xml:space="preserve">Döcke LUX Аксессуары </t>
  </si>
  <si>
    <t>Н-профиль</t>
  </si>
  <si>
    <t>436,37р.</t>
  </si>
  <si>
    <t>481,71р.</t>
  </si>
  <si>
    <t>566,72р.</t>
  </si>
  <si>
    <t xml:space="preserve">J-профиль </t>
  </si>
  <si>
    <t>172,45р.</t>
  </si>
  <si>
    <t>190,37р.</t>
  </si>
  <si>
    <t>223,96р.</t>
  </si>
  <si>
    <t>547,82р.</t>
  </si>
  <si>
    <t>604,74р.</t>
  </si>
  <si>
    <t>711,46р.</t>
  </si>
  <si>
    <t>428,80р.</t>
  </si>
  <si>
    <t>473,35р.</t>
  </si>
  <si>
    <t>556,88р.</t>
  </si>
  <si>
    <t>Финишный профиль</t>
  </si>
  <si>
    <t>158,76р.</t>
  </si>
  <si>
    <t>175,25р.</t>
  </si>
  <si>
    <t>206,18р.</t>
  </si>
  <si>
    <t>Виниловый сайдинг Döcke PREMIUM и STANDARD.</t>
  </si>
  <si>
    <t>Серия Döcke PREMIUM</t>
  </si>
  <si>
    <t>Сайдинг</t>
  </si>
  <si>
    <t>Сайдинг D4,5D (все цвета, кроме Ирис, Пралине)</t>
  </si>
  <si>
    <t>184,40р.</t>
  </si>
  <si>
    <t>188,36р.</t>
  </si>
  <si>
    <t>198,28р.</t>
  </si>
  <si>
    <t>Сайдинг D4,5D (Ирис, Пралине)</t>
  </si>
  <si>
    <t>228,58р.</t>
  </si>
  <si>
    <t>233,49р.</t>
  </si>
  <si>
    <t>245,78р.</t>
  </si>
  <si>
    <t>Сайдинг S7 (все цвета)</t>
  </si>
  <si>
    <t>128,85р.</t>
  </si>
  <si>
    <t>131,62р.</t>
  </si>
  <si>
    <t>138,55р.</t>
  </si>
  <si>
    <t>Сайдинг D6S (все цвета)</t>
  </si>
  <si>
    <t>237,09р.</t>
  </si>
  <si>
    <t>242,18р.</t>
  </si>
  <si>
    <t>254,93р.</t>
  </si>
  <si>
    <t>219,52р.</t>
  </si>
  <si>
    <t>224,24р.</t>
  </si>
  <si>
    <t>236,05р.</t>
  </si>
  <si>
    <t xml:space="preserve"> Софиты</t>
  </si>
  <si>
    <t>Софит сплошной/ перфорированный/ c центральной перфорацией (Пломбир)</t>
  </si>
  <si>
    <t>293,32р.</t>
  </si>
  <si>
    <t>369,66р.</t>
  </si>
  <si>
    <t>401,80р.</t>
  </si>
  <si>
    <t>Софит сплошной/ перфорированный/ c центральной перфорацией (Шоколад, Гранат, Каштан, Графит)</t>
  </si>
  <si>
    <t>385,66р.</t>
  </si>
  <si>
    <t>486,03р.</t>
  </si>
  <si>
    <t>528,30р.</t>
  </si>
  <si>
    <t>Серия Döcke STANDARD</t>
  </si>
  <si>
    <t xml:space="preserve">Сайдинг </t>
  </si>
  <si>
    <t>Сайдинг D4D (все цвета)</t>
  </si>
  <si>
    <t>120,94р.</t>
  </si>
  <si>
    <t>123,55р.</t>
  </si>
  <si>
    <t>130,05р.</t>
  </si>
  <si>
    <t>Сайдинг D5C (все цвета)</t>
  </si>
  <si>
    <t>154,65р.</t>
  </si>
  <si>
    <t>157,97р.</t>
  </si>
  <si>
    <t>166,29р.</t>
  </si>
  <si>
    <t>Софиты</t>
  </si>
  <si>
    <t>242,22р.</t>
  </si>
  <si>
    <t>306,14р.</t>
  </si>
  <si>
    <t>336,42р.</t>
  </si>
  <si>
    <t>Софит сплошной/ перфорированный/ c центральной перфорацией (Шоколад,  Графит)</t>
  </si>
  <si>
    <t>300,26р.</t>
  </si>
  <si>
    <t>379,50р.</t>
  </si>
  <si>
    <t>417,03р.</t>
  </si>
  <si>
    <t>Универсальные аксессуары</t>
  </si>
  <si>
    <t>Аксессуары Döcke, цвет Пломбир</t>
  </si>
  <si>
    <t xml:space="preserve">Финишный профиль  </t>
  </si>
  <si>
    <t>124,82р.</t>
  </si>
  <si>
    <t>158,11р.</t>
  </si>
  <si>
    <t>166,43р.</t>
  </si>
  <si>
    <t>308,49р.</t>
  </si>
  <si>
    <t>390,76р.</t>
  </si>
  <si>
    <t>411,32р.</t>
  </si>
  <si>
    <t xml:space="preserve">Стартовый профиль </t>
  </si>
  <si>
    <t>96,92р.</t>
  </si>
  <si>
    <t>122,77р.</t>
  </si>
  <si>
    <t>129,23р.</t>
  </si>
  <si>
    <t>290,83р.</t>
  </si>
  <si>
    <t>368,38р.</t>
  </si>
  <si>
    <t>387,77р.</t>
  </si>
  <si>
    <t xml:space="preserve">Окантовочный профиль </t>
  </si>
  <si>
    <t>308,91р.</t>
  </si>
  <si>
    <t>391,28р.</t>
  </si>
  <si>
    <t>411,88р.</t>
  </si>
  <si>
    <t xml:space="preserve">Внешний угол  75мм </t>
  </si>
  <si>
    <t>378,72р.</t>
  </si>
  <si>
    <t>479,72р.</t>
  </si>
  <si>
    <t>504,96р.</t>
  </si>
  <si>
    <t>Наличник 75 мм</t>
  </si>
  <si>
    <t>379,94р.</t>
  </si>
  <si>
    <t>481,26р.</t>
  </si>
  <si>
    <t>506,59р.</t>
  </si>
  <si>
    <t xml:space="preserve">Наличник 89 мм </t>
  </si>
  <si>
    <t>318,00р.</t>
  </si>
  <si>
    <t>402,80р.</t>
  </si>
  <si>
    <t>424,00р.</t>
  </si>
  <si>
    <t>Откос 254 мм</t>
  </si>
  <si>
    <t>448,39р.</t>
  </si>
  <si>
    <t>567,96р.</t>
  </si>
  <si>
    <t>597,86р.</t>
  </si>
  <si>
    <t>J-фаска</t>
  </si>
  <si>
    <t>388,81р.</t>
  </si>
  <si>
    <t>492,49р.</t>
  </si>
  <si>
    <t>518,41р.</t>
  </si>
  <si>
    <t xml:space="preserve">Молдинг </t>
  </si>
  <si>
    <t>278,02р.</t>
  </si>
  <si>
    <t>352,16р.</t>
  </si>
  <si>
    <t>370,70р.</t>
  </si>
  <si>
    <t>Отлив</t>
  </si>
  <si>
    <t>223,70р.</t>
  </si>
  <si>
    <t>283,35р.</t>
  </si>
  <si>
    <t>298,27р.</t>
  </si>
  <si>
    <t>Околооконный профиль</t>
  </si>
  <si>
    <t>496,30р.</t>
  </si>
  <si>
    <t>628,65р.</t>
  </si>
  <si>
    <t>661,73р.</t>
  </si>
  <si>
    <t xml:space="preserve">Гибкий J-профиль </t>
  </si>
  <si>
    <t>1 465,22р.</t>
  </si>
  <si>
    <t>1 855,94р.</t>
  </si>
  <si>
    <t>1 953,63р.</t>
  </si>
  <si>
    <t>Аксессуары Döcke, Светлые цвета (Голубика, Халва, Фисташки, Сливки, Крем-брюле, Лимон, Персик, Банан, Киви, Слива, Карамель, Капучино)</t>
  </si>
  <si>
    <t xml:space="preserve">Финишный профиль </t>
  </si>
  <si>
    <t>152,42р.</t>
  </si>
  <si>
    <t>193,07р.</t>
  </si>
  <si>
    <t>203,23р.</t>
  </si>
  <si>
    <t xml:space="preserve">Н-профиль </t>
  </si>
  <si>
    <t>339,03р.</t>
  </si>
  <si>
    <t>429,43р.</t>
  </si>
  <si>
    <t>452,04р.</t>
  </si>
  <si>
    <t xml:space="preserve">Внешний угол 75мм  </t>
  </si>
  <si>
    <t xml:space="preserve">Внутренний угол  </t>
  </si>
  <si>
    <t>319,62р.</t>
  </si>
  <si>
    <t>404,85р.</t>
  </si>
  <si>
    <t>426,16р.</t>
  </si>
  <si>
    <t xml:space="preserve">Околооконный профиль </t>
  </si>
  <si>
    <r>
      <t xml:space="preserve">Аксессуары Döcke, Темные цвета </t>
    </r>
    <r>
      <rPr>
        <sz val="14"/>
        <rFont val="Arial Narrow"/>
        <family val="2"/>
        <charset val="204"/>
      </rPr>
      <t>(Шоколад, Гранат, Каштан, Графит, Ирис, Пралине)</t>
    </r>
  </si>
  <si>
    <t>427,38р.</t>
  </si>
  <si>
    <t>477,66р.</t>
  </si>
  <si>
    <t>502,80р.</t>
  </si>
  <si>
    <t xml:space="preserve">J-фаска  </t>
  </si>
  <si>
    <t>705,77р.</t>
  </si>
  <si>
    <t>788,80р.</t>
  </si>
  <si>
    <t>830,32р.</t>
  </si>
  <si>
    <t>202,99р.</t>
  </si>
  <si>
    <t>226,87р.</t>
  </si>
  <si>
    <t>238,81р.</t>
  </si>
  <si>
    <t>220,51р.</t>
  </si>
  <si>
    <t>246,45р.</t>
  </si>
  <si>
    <t>259,42р.</t>
  </si>
  <si>
    <t>527,00р.</t>
  </si>
  <si>
    <t>589,00р.</t>
  </si>
  <si>
    <t>620,00р.</t>
  </si>
  <si>
    <t>517,83р.</t>
  </si>
  <si>
    <t>578,75р.</t>
  </si>
  <si>
    <t>609,21р.</t>
  </si>
  <si>
    <t>Внешний угол  75мм</t>
  </si>
  <si>
    <t>601,41р.</t>
  </si>
  <si>
    <t>672,17р.</t>
  </si>
  <si>
    <t>707,54р.</t>
  </si>
  <si>
    <t>772,34р.</t>
  </si>
  <si>
    <t>863,20р.</t>
  </si>
  <si>
    <t>908,63р.</t>
  </si>
  <si>
    <t>677,09р.</t>
  </si>
  <si>
    <t>756,75р.</t>
  </si>
  <si>
    <t>796,58р.</t>
  </si>
  <si>
    <t>Наличник 89 мм</t>
  </si>
  <si>
    <t>573,74р.</t>
  </si>
  <si>
    <t>641,23р.</t>
  </si>
  <si>
    <t>674,98р.</t>
  </si>
  <si>
    <t>618,80р.</t>
  </si>
  <si>
    <t>691,60р.</t>
  </si>
  <si>
    <t>728,00р.</t>
  </si>
  <si>
    <t>Гибкий J-профиль</t>
  </si>
  <si>
    <t>1 631,46р.</t>
  </si>
  <si>
    <t>1 823,40р.</t>
  </si>
  <si>
    <t>1 919,37р.</t>
  </si>
  <si>
    <t xml:space="preserve">Прайс-лист для ЦФО (Белгородская, Воронежская, Курская, Липецкая, Орловская, Тамбовская области) - 2019 </t>
  </si>
  <si>
    <t xml:space="preserve">Водосточная система ПВХ DÖCKE LUX. </t>
  </si>
  <si>
    <t>Водосточная система Döcke LUX</t>
  </si>
  <si>
    <t>Желоб водосточный Пломбир</t>
  </si>
  <si>
    <t>461,69р.</t>
  </si>
  <si>
    <t>639,26р.</t>
  </si>
  <si>
    <t>710,29р.</t>
  </si>
  <si>
    <t>Желоб водосточный Шоколад, Графит</t>
  </si>
  <si>
    <t>484,74р.</t>
  </si>
  <si>
    <t>671,18р.</t>
  </si>
  <si>
    <t>745,76р.</t>
  </si>
  <si>
    <t>Труба водосточная 3000 мм Пломбир</t>
  </si>
  <si>
    <t>548,22р.</t>
  </si>
  <si>
    <t>759,07р.</t>
  </si>
  <si>
    <t>843,41р.</t>
  </si>
  <si>
    <t>Труба водосточная 3000 мм Шоколад, Графит</t>
  </si>
  <si>
    <t>575,61р.</t>
  </si>
  <si>
    <t>797,00р.</t>
  </si>
  <si>
    <t>885,55р.</t>
  </si>
  <si>
    <t>Труба водосточная 1000 мм Пломбир</t>
  </si>
  <si>
    <t>210,15р.</t>
  </si>
  <si>
    <t>290,98р.</t>
  </si>
  <si>
    <t>323,31р.</t>
  </si>
  <si>
    <t>Труба водосточная 1000 мм Шоколад, Графит</t>
  </si>
  <si>
    <t>220,66р.</t>
  </si>
  <si>
    <t>305,52р.</t>
  </si>
  <si>
    <t>339,47р.</t>
  </si>
  <si>
    <t>330,09р.</t>
  </si>
  <si>
    <t>457,05р.</t>
  </si>
  <si>
    <t>507,84р.</t>
  </si>
  <si>
    <t>Воронка Шоколад, Графит</t>
  </si>
  <si>
    <t>346,60р.</t>
  </si>
  <si>
    <t>479,90р.</t>
  </si>
  <si>
    <t>533,22р.</t>
  </si>
  <si>
    <t>126,95р.</t>
  </si>
  <si>
    <t>175,78р.</t>
  </si>
  <si>
    <t>195,31р.</t>
  </si>
  <si>
    <t>Соединитель желобов Шоколад, Графит</t>
  </si>
  <si>
    <t>133,36р.</t>
  </si>
  <si>
    <t>184,65р.</t>
  </si>
  <si>
    <t>205,16р.</t>
  </si>
  <si>
    <t>Угловой элемент желоба 90° Пломбир</t>
  </si>
  <si>
    <t>230,83р.</t>
  </si>
  <si>
    <t>319,61р.</t>
  </si>
  <si>
    <t>355,12р.</t>
  </si>
  <si>
    <t>Угловой элемент желоба 90°  Шоколад, Графит</t>
  </si>
  <si>
    <t>242,34р.</t>
  </si>
  <si>
    <t>335,55р.</t>
  </si>
  <si>
    <t>372,84р.</t>
  </si>
  <si>
    <t>649,20р.</t>
  </si>
  <si>
    <t>898,90р.</t>
  </si>
  <si>
    <t>998,78р.</t>
  </si>
  <si>
    <t>Угловой элемент желоба 135° Шоколад, Графит</t>
  </si>
  <si>
    <t>681,68р.</t>
  </si>
  <si>
    <t>943,86р.</t>
  </si>
  <si>
    <t>1 048,73р.</t>
  </si>
  <si>
    <t>Кронштейн желоба ПВХ Пломбир</t>
  </si>
  <si>
    <t>58,26р.</t>
  </si>
  <si>
    <t>80,67р.</t>
  </si>
  <si>
    <t>89,63р.</t>
  </si>
  <si>
    <t>Кронштейн желоба ПВХ Шоколад, Графит</t>
  </si>
  <si>
    <t>60,58р.</t>
  </si>
  <si>
    <t>83,88р.</t>
  </si>
  <si>
    <t>93,20р.</t>
  </si>
  <si>
    <t>210,53р.</t>
  </si>
  <si>
    <t>291,51р.</t>
  </si>
  <si>
    <t>323,90р.</t>
  </si>
  <si>
    <t>Кронштейн желоба металлический 300 мм Шоколад, Графит</t>
  </si>
  <si>
    <t xml:space="preserve"> Заглушка желоба Пломбир</t>
  </si>
  <si>
    <t>75,02р.</t>
  </si>
  <si>
    <t>103,87р.</t>
  </si>
  <si>
    <t>115,41р.</t>
  </si>
  <si>
    <t>Заглушка желоба Шоколад, Графит</t>
  </si>
  <si>
    <t>78,78р.</t>
  </si>
  <si>
    <t>109,08р.</t>
  </si>
  <si>
    <t>121,20р.</t>
  </si>
  <si>
    <t>110,82р.</t>
  </si>
  <si>
    <t>153,44р.</t>
  </si>
  <si>
    <t>170,49р.</t>
  </si>
  <si>
    <t>Муфта соединительная Шоколад, Графит</t>
  </si>
  <si>
    <t>116,34р.</t>
  </si>
  <si>
    <t>161,08р.</t>
  </si>
  <si>
    <t>178,98р.</t>
  </si>
  <si>
    <t>178,88р.</t>
  </si>
  <si>
    <t>247,68р.</t>
  </si>
  <si>
    <t>275,20р.</t>
  </si>
  <si>
    <t>Колено 45° Шоколад, Графит</t>
  </si>
  <si>
    <t>187,84р.</t>
  </si>
  <si>
    <t>260,08р.</t>
  </si>
  <si>
    <t>288,98р.</t>
  </si>
  <si>
    <t>Колено 72° Шоколад, Графит</t>
  </si>
  <si>
    <t>76,93р.</t>
  </si>
  <si>
    <t>106,51р.</t>
  </si>
  <si>
    <t>118,35р.</t>
  </si>
  <si>
    <t>Хомут универсальный Шоколад, Графит</t>
  </si>
  <si>
    <t>80,77р.</t>
  </si>
  <si>
    <t>111,84р.</t>
  </si>
  <si>
    <t>124,27р.</t>
  </si>
  <si>
    <t>200,05р.</t>
  </si>
  <si>
    <t>277,00р.</t>
  </si>
  <si>
    <t>307,78р.</t>
  </si>
  <si>
    <t>Наконечник Шоколад, Графит</t>
  </si>
  <si>
    <t>210,11р.</t>
  </si>
  <si>
    <t>290,92р.</t>
  </si>
  <si>
    <t>323,24р.</t>
  </si>
  <si>
    <t>Коллектор Пломбир</t>
  </si>
  <si>
    <t>Коллектор  Шоколад, Графит</t>
  </si>
  <si>
    <t>LUX/PREMIUM Переходник Пломбир</t>
  </si>
  <si>
    <t>269,29р.</t>
  </si>
  <si>
    <t>372,86р.</t>
  </si>
  <si>
    <t>414,29р.</t>
  </si>
  <si>
    <t>LUX/PREMIUM Переходник Шоколад</t>
  </si>
  <si>
    <t>282,79р.</t>
  </si>
  <si>
    <t>391,56р.</t>
  </si>
  <si>
    <t>435,06р.</t>
  </si>
  <si>
    <t>Тройник 45 Пломбир</t>
  </si>
  <si>
    <t>473,19р.</t>
  </si>
  <si>
    <t>655,18р.</t>
  </si>
  <si>
    <t>727,98р.</t>
  </si>
  <si>
    <t>Тройник 45 Шоколад, Графит</t>
  </si>
  <si>
    <t>496,85р.</t>
  </si>
  <si>
    <t>687,95р.</t>
  </si>
  <si>
    <t>764,39р.</t>
  </si>
  <si>
    <t>Водосточная система ПВХ DÖCKE PREMIUM.</t>
  </si>
  <si>
    <t>Водосточная система Döcke PREMIUM</t>
  </si>
  <si>
    <t>330,17р.</t>
  </si>
  <si>
    <t>424,51р.</t>
  </si>
  <si>
    <t>471,67р.</t>
  </si>
  <si>
    <t>Желоб водосточный 3000 мм Шоколад, Гранат, Графит, Каштан</t>
  </si>
  <si>
    <t>363,23р.</t>
  </si>
  <si>
    <t>467,01р.</t>
  </si>
  <si>
    <t>518,90р.</t>
  </si>
  <si>
    <t>399,83р.</t>
  </si>
  <si>
    <t>514,07р.</t>
  </si>
  <si>
    <t>571,19р.</t>
  </si>
  <si>
    <t>Труба водосточная 3000 мм Шоколад, Гранат, Графит, Каштан</t>
  </si>
  <si>
    <t>439,83р.</t>
  </si>
  <si>
    <t>565,49р.</t>
  </si>
  <si>
    <t>628,33р.</t>
  </si>
  <si>
    <t>153,27р.</t>
  </si>
  <si>
    <t>197,07р.</t>
  </si>
  <si>
    <t>218,96р.</t>
  </si>
  <si>
    <t>Труба водосточная 1000 мм Шоколад, Гранат, Графит</t>
  </si>
  <si>
    <t>168,61р.</t>
  </si>
  <si>
    <t>216,78р.</t>
  </si>
  <si>
    <t>240,87р.</t>
  </si>
  <si>
    <t>115,07р.</t>
  </si>
  <si>
    <t>147,95р.</t>
  </si>
  <si>
    <t>164,38р.</t>
  </si>
  <si>
    <t>Соединитель желобов Шоколад, Гранат, Графит, Каштан</t>
  </si>
  <si>
    <t>120,78р.</t>
  </si>
  <si>
    <t>155,28р.</t>
  </si>
  <si>
    <t>172,54р.</t>
  </si>
  <si>
    <t>69,08р.</t>
  </si>
  <si>
    <t>88,82р.</t>
  </si>
  <si>
    <t>98,69р.</t>
  </si>
  <si>
    <t>Муфта соединительная Шоколад, Гранат, Графит, Каштан</t>
  </si>
  <si>
    <t>72,64р.</t>
  </si>
  <si>
    <t>93,39р.</t>
  </si>
  <si>
    <t>103,77р.</t>
  </si>
  <si>
    <t>179,40р.</t>
  </si>
  <si>
    <t>230,66р.</t>
  </si>
  <si>
    <t>256,29р.</t>
  </si>
  <si>
    <t>Угловой элемент желоба 90° универсальный Шоколад, Гранат, Графит, Каштан</t>
  </si>
  <si>
    <t>188,43р.</t>
  </si>
  <si>
    <t>242,27р.</t>
  </si>
  <si>
    <t>269,19р.</t>
  </si>
  <si>
    <t>615,11р.</t>
  </si>
  <si>
    <t>790,86р.</t>
  </si>
  <si>
    <t>878,73р.</t>
  </si>
  <si>
    <t>Угловой элемент желоба 135° Шоколад, Гранат, Графит, Каштан</t>
  </si>
  <si>
    <t>645,83р.</t>
  </si>
  <si>
    <t>830,35р.</t>
  </si>
  <si>
    <t>922,62р.</t>
  </si>
  <si>
    <t>55,26р.</t>
  </si>
  <si>
    <t>71,05р.</t>
  </si>
  <si>
    <t>78,94р.</t>
  </si>
  <si>
    <t>Заглушка желоба Шоколад, Гранат, Графит, Каштан</t>
  </si>
  <si>
    <t>58,02р.</t>
  </si>
  <si>
    <t>74,60р.</t>
  </si>
  <si>
    <t>82,88р.</t>
  </si>
  <si>
    <t>Заглушка воронки Шоколад, Гранат, Графит, Каштан</t>
  </si>
  <si>
    <t>134,05р.</t>
  </si>
  <si>
    <t>172,35р.</t>
  </si>
  <si>
    <t>191,50р.</t>
  </si>
  <si>
    <t>Крепление регулируемое для кронштейна желоба Шоколад, Графит, Каштан</t>
  </si>
  <si>
    <t>140,74р.</t>
  </si>
  <si>
    <t>180,95р.</t>
  </si>
  <si>
    <t>201,06р.</t>
  </si>
  <si>
    <t>37,58р.</t>
  </si>
  <si>
    <t>48,32р.</t>
  </si>
  <si>
    <t>53,69р.</t>
  </si>
  <si>
    <t>Кронштейн желоба Шоколад, Гранат, Графит, Каштан</t>
  </si>
  <si>
    <t>39,48р.</t>
  </si>
  <si>
    <t>50,76р.</t>
  </si>
  <si>
    <t>56,40р.</t>
  </si>
  <si>
    <t>208,16р.</t>
  </si>
  <si>
    <t>267,63р.</t>
  </si>
  <si>
    <t>297,37р.</t>
  </si>
  <si>
    <t>Воронка Шоколад, Гранат, Графит, Каштан</t>
  </si>
  <si>
    <t>218,59р.</t>
  </si>
  <si>
    <t>281,04р.</t>
  </si>
  <si>
    <t>312,27р.</t>
  </si>
  <si>
    <t>129,38р.</t>
  </si>
  <si>
    <t>166,34р.</t>
  </si>
  <si>
    <t>184,83р.</t>
  </si>
  <si>
    <t>Колено 45° Шоколад, Гранат, Графит, Каштан</t>
  </si>
  <si>
    <t>135,84р.</t>
  </si>
  <si>
    <t>174,65р.</t>
  </si>
  <si>
    <t>194,06р.</t>
  </si>
  <si>
    <t>Колено 72° Шоколад, Гранат, Графит, Каштан</t>
  </si>
  <si>
    <t>51,92р.</t>
  </si>
  <si>
    <t>66,76р.</t>
  </si>
  <si>
    <t>74,17р.</t>
  </si>
  <si>
    <t>Хомут универсальный Шоколад, Гранат, Графит, Каштан</t>
  </si>
  <si>
    <t>54,53р.</t>
  </si>
  <si>
    <t>70,11р.</t>
  </si>
  <si>
    <t>77,90р.</t>
  </si>
  <si>
    <t>122,81р.</t>
  </si>
  <si>
    <t>157,90р.</t>
  </si>
  <si>
    <t>175,44р.</t>
  </si>
  <si>
    <t>Наконечник Шоколад, Гранат, Графит, Каштан</t>
  </si>
  <si>
    <t>128,95р.</t>
  </si>
  <si>
    <t>165,79р.</t>
  </si>
  <si>
    <t>184,21р.</t>
  </si>
  <si>
    <t>43,44р.</t>
  </si>
  <si>
    <t>55,85р.</t>
  </si>
  <si>
    <t>62,06р.</t>
  </si>
  <si>
    <t>Сетка защитная Шоколад, Гранат, Графит, Каштан</t>
  </si>
  <si>
    <t>45,62р.</t>
  </si>
  <si>
    <t>58,66р.</t>
  </si>
  <si>
    <t>65,17р.</t>
  </si>
  <si>
    <t>120,31р.</t>
  </si>
  <si>
    <t>154,68р.</t>
  </si>
  <si>
    <t>171,87р.</t>
  </si>
  <si>
    <t>Кронштейн желоба металлический 300 мм Шоколад, Гранат, Графит, Каштан</t>
  </si>
  <si>
    <t>106,59р.</t>
  </si>
  <si>
    <t>137,04р.</t>
  </si>
  <si>
    <t>152,27р.</t>
  </si>
  <si>
    <t>Водосточная система ПВХ DÖCKE STANDARD.</t>
  </si>
  <si>
    <t>Водосточная система Döcke STANDARD</t>
  </si>
  <si>
    <t>Желоб водосточный 3000 мм Белый</t>
  </si>
  <si>
    <t>259,66р.</t>
  </si>
  <si>
    <t>359,52р.</t>
  </si>
  <si>
    <t>399,47р.</t>
  </si>
  <si>
    <t>Желоб водосточный 3000 мм Красный, Зеленый, Темно-коричневый, Светло-коричневый</t>
  </si>
  <si>
    <t>285,64р.</t>
  </si>
  <si>
    <t>395,50р.</t>
  </si>
  <si>
    <t>439,45р.</t>
  </si>
  <si>
    <t>Желоб водосточный 2000 мм Белый</t>
  </si>
  <si>
    <t>173,09р.</t>
  </si>
  <si>
    <t>239,66р.</t>
  </si>
  <si>
    <t>266,29р.</t>
  </si>
  <si>
    <t>Желоб водосточный 2000 мм Красный, Зеленый, Темно-коричневый, Светло-коричневый</t>
  </si>
  <si>
    <t>190,42р.</t>
  </si>
  <si>
    <t>263,66р.</t>
  </si>
  <si>
    <t>292,96р.</t>
  </si>
  <si>
    <t>Труба водосточная 3000 мм Белый</t>
  </si>
  <si>
    <t>314,44р.</t>
  </si>
  <si>
    <t>435,38р.</t>
  </si>
  <si>
    <t>483,76р.</t>
  </si>
  <si>
    <t>Труба водосточная 3000 мм Красный, Зеленый, Темно-коричневый, Светло-коричневый</t>
  </si>
  <si>
    <t>345,87р.</t>
  </si>
  <si>
    <t>478,89р.</t>
  </si>
  <si>
    <t>532,10р.</t>
  </si>
  <si>
    <t>Труба водосточная 2000 мм Белый</t>
  </si>
  <si>
    <t>209,62р.</t>
  </si>
  <si>
    <t>290,24р.</t>
  </si>
  <si>
    <t>322,49р.</t>
  </si>
  <si>
    <t>Труба водосточная 2000 мм Красный, Зеленый, Темно-коричневый, Светло-коричневый</t>
  </si>
  <si>
    <t>230,59р.</t>
  </si>
  <si>
    <t>319,28р.</t>
  </si>
  <si>
    <t>354,76р.</t>
  </si>
  <si>
    <t>Труба водосточная 1000 мм Белый</t>
  </si>
  <si>
    <t>120,53р.</t>
  </si>
  <si>
    <t>166,89р.</t>
  </si>
  <si>
    <t>185,43р.</t>
  </si>
  <si>
    <t>Труба водосточная 1000 мм Красный, Зеленый, Темно-коричневый, Светло-коричневый</t>
  </si>
  <si>
    <t>132,59р.</t>
  </si>
  <si>
    <t>183,58р.</t>
  </si>
  <si>
    <t>203,98р.</t>
  </si>
  <si>
    <t>Соединитель желобов Белый</t>
  </si>
  <si>
    <t>90,48р.</t>
  </si>
  <si>
    <t>125,28р.</t>
  </si>
  <si>
    <t>139,20р.</t>
  </si>
  <si>
    <t>Соединитель желобов Красный, Зеленый, Темно-коричневый, Светло-коричневый</t>
  </si>
  <si>
    <t>94,99р.</t>
  </si>
  <si>
    <t>131,53р.</t>
  </si>
  <si>
    <t>146,14р.</t>
  </si>
  <si>
    <t>Муфта соединительная Белый</t>
  </si>
  <si>
    <t>54,32р.</t>
  </si>
  <si>
    <t>75,21р.</t>
  </si>
  <si>
    <t>83,57р.</t>
  </si>
  <si>
    <t>Муфта соединительная Красный, Зеленый, Темно-коричневый, Светло-коричневый</t>
  </si>
  <si>
    <t>57,11р.</t>
  </si>
  <si>
    <t>79,07р.</t>
  </si>
  <si>
    <t>87,86р.</t>
  </si>
  <si>
    <t>Угловой элемент желоба 90° универсальный Белый</t>
  </si>
  <si>
    <t>141,08р.</t>
  </si>
  <si>
    <t>195,34р.</t>
  </si>
  <si>
    <t>217,04р.</t>
  </si>
  <si>
    <t>Угловой элемент желоба 90° универсальный Красный, Зеленый, Темно-коричневый, Светло-коричневый</t>
  </si>
  <si>
    <t>148,19р.</t>
  </si>
  <si>
    <t>205,18р.</t>
  </si>
  <si>
    <t>227,98р.</t>
  </si>
  <si>
    <t>Заглушка желоба Белый</t>
  </si>
  <si>
    <t>60,15р.</t>
  </si>
  <si>
    <t>66,84р.</t>
  </si>
  <si>
    <t>Заглушка желоба Красный, Зеленый, Темно-коричневый, Светло-коричневый</t>
  </si>
  <si>
    <t>63,17р.</t>
  </si>
  <si>
    <t>70,18р.</t>
  </si>
  <si>
    <t>Кронштейн желоба Белый</t>
  </si>
  <si>
    <t>29,57р.</t>
  </si>
  <si>
    <t>40,94р.</t>
  </si>
  <si>
    <t>45,49р.</t>
  </si>
  <si>
    <t>Кронштейн желоба Красный, Зеленый, Темно-коричневый, Светло-коричневый</t>
  </si>
  <si>
    <t>31,05р.</t>
  </si>
  <si>
    <t>43,00р.</t>
  </si>
  <si>
    <t>47,78р.</t>
  </si>
  <si>
    <t>Воронка Белый</t>
  </si>
  <si>
    <t>163,71р.</t>
  </si>
  <si>
    <t>226,67р.</t>
  </si>
  <si>
    <t>251,86р.</t>
  </si>
  <si>
    <t>Воронка Красный, Зеленый, Темно-коричневый, Светло-коричневый</t>
  </si>
  <si>
    <t>171,91р.</t>
  </si>
  <si>
    <t>238,02р.</t>
  </si>
  <si>
    <t>264,47р.</t>
  </si>
  <si>
    <t>Колено 45° Белый</t>
  </si>
  <si>
    <t>101,74р.</t>
  </si>
  <si>
    <t>140,88р.</t>
  </si>
  <si>
    <t>156,53р.</t>
  </si>
  <si>
    <t>Колено 45° Красный, Зеленый, Темно-коричневый, Светло-коричневый</t>
  </si>
  <si>
    <t>106,84р.</t>
  </si>
  <si>
    <t>147,93р.</t>
  </si>
  <si>
    <t>164,37р.</t>
  </si>
  <si>
    <t>Хомут универсальный Белый</t>
  </si>
  <si>
    <t>40,84р.</t>
  </si>
  <si>
    <t>56,55р.</t>
  </si>
  <si>
    <t>62,84р.</t>
  </si>
  <si>
    <t>Хомут универсальный Красный, Зеленый, Темно-коричневый, Светло-коричневый</t>
  </si>
  <si>
    <t>42,89р.</t>
  </si>
  <si>
    <t>59,38р.</t>
  </si>
  <si>
    <t>65,98р.</t>
  </si>
  <si>
    <t>Наконечник Белый</t>
  </si>
  <si>
    <t>96,58р.</t>
  </si>
  <si>
    <t>133,73р.</t>
  </si>
  <si>
    <t>148,59р.</t>
  </si>
  <si>
    <t>Наконечник Красный, Зеленый, Темно-коричневый, Светло-коричневый</t>
  </si>
  <si>
    <t>101,41р.</t>
  </si>
  <si>
    <t>140,42р.</t>
  </si>
  <si>
    <t>156,02р.</t>
  </si>
  <si>
    <t>Кронштейн желоба металлический 120 мм * 300 мм Белый</t>
  </si>
  <si>
    <t>94,62р.</t>
  </si>
  <si>
    <t>131,01р.</t>
  </si>
  <si>
    <t>145,57р.</t>
  </si>
  <si>
    <t>Кронштейн желоба металлический 300 мм Красный, Зеленый, Темно-коричневый, Светло-коричневый</t>
  </si>
  <si>
    <t xml:space="preserve">Фасадные панели DÖCKE. </t>
  </si>
  <si>
    <t>Панель EDEL (все цвета)</t>
  </si>
  <si>
    <t>337,71р.</t>
  </si>
  <si>
    <t>373,05р.</t>
  </si>
  <si>
    <t>392,68р.</t>
  </si>
  <si>
    <t>Панель BERG (все цвета)</t>
  </si>
  <si>
    <t>455,60р.</t>
  </si>
  <si>
    <t>503,28р.</t>
  </si>
  <si>
    <t>529,77р.</t>
  </si>
  <si>
    <t>Панель BURG (все цвета)</t>
  </si>
  <si>
    <t>480,93р.</t>
  </si>
  <si>
    <t>531,25р.</t>
  </si>
  <si>
    <t>559,22р.</t>
  </si>
  <si>
    <t>Панель STEIN (все цвета)</t>
  </si>
  <si>
    <t>506,22р.</t>
  </si>
  <si>
    <t>559,20р.</t>
  </si>
  <si>
    <t>588,63р.</t>
  </si>
  <si>
    <t>Панель FELS (все цвета)</t>
  </si>
  <si>
    <t>Панель STERN (все цвета)</t>
  </si>
  <si>
    <t>479,59р.</t>
  </si>
  <si>
    <t>529,78р.</t>
  </si>
  <si>
    <t>557,66р.</t>
  </si>
  <si>
    <t>Угол  EDEL</t>
  </si>
  <si>
    <t>396,81р.</t>
  </si>
  <si>
    <t>443,50р.</t>
  </si>
  <si>
    <t>466,84р.</t>
  </si>
  <si>
    <t xml:space="preserve">Угол BERG </t>
  </si>
  <si>
    <t>417,70р.</t>
  </si>
  <si>
    <t>491,41р.</t>
  </si>
  <si>
    <t>Угол BURG</t>
  </si>
  <si>
    <t>Угол STEIN</t>
  </si>
  <si>
    <t>Угол FELS</t>
  </si>
  <si>
    <t>Угол STERN</t>
  </si>
  <si>
    <t>Фасадный внутренний угол (Агатовый, Слоновая кость, Палевый, Бежевый, Каштановый)</t>
  </si>
  <si>
    <t>224,93р.</t>
  </si>
  <si>
    <t>251,39р.</t>
  </si>
  <si>
    <t>264,62р.</t>
  </si>
  <si>
    <t>Фасадный внутренний угол Дымчатый</t>
  </si>
  <si>
    <t>306,71р.</t>
  </si>
  <si>
    <t>342,80р.</t>
  </si>
  <si>
    <t>360,84р.</t>
  </si>
  <si>
    <t>Стартовый угол BERG, EDEL</t>
  </si>
  <si>
    <t>64,28р.</t>
  </si>
  <si>
    <t>71,84р.</t>
  </si>
  <si>
    <t>75,62р.</t>
  </si>
  <si>
    <t>Стартовый угол BURG, STEIN, STERN, FELS</t>
  </si>
  <si>
    <t>257,05р.</t>
  </si>
  <si>
    <t>287,29р.</t>
  </si>
  <si>
    <t>302,41р.</t>
  </si>
  <si>
    <t>291,13р.</t>
  </si>
  <si>
    <t>325,38р.</t>
  </si>
  <si>
    <t>342,50р.</t>
  </si>
  <si>
    <t>218,10р.</t>
  </si>
  <si>
    <t>243,76р.</t>
  </si>
  <si>
    <t>256,59р.</t>
  </si>
  <si>
    <t>410,01р.</t>
  </si>
  <si>
    <t>458,25р.</t>
  </si>
  <si>
    <t>482,37р.</t>
  </si>
  <si>
    <t>592,96р.</t>
  </si>
  <si>
    <t>662,72р.</t>
  </si>
  <si>
    <t>697,60р.</t>
  </si>
  <si>
    <t>228,81р.</t>
  </si>
  <si>
    <t>255,73р.</t>
  </si>
  <si>
    <t>16,06р.</t>
  </si>
  <si>
    <t>17,95р.</t>
  </si>
  <si>
    <t>18,90р.</t>
  </si>
  <si>
    <t>99,30р.</t>
  </si>
  <si>
    <t>110,98р.</t>
  </si>
  <si>
    <t>116,82р.</t>
  </si>
  <si>
    <t>143,51р.</t>
  </si>
  <si>
    <t>200,49р.</t>
  </si>
  <si>
    <t>211,04р.</t>
  </si>
  <si>
    <t xml:space="preserve">Чердачные лестницы DÖCKE. </t>
  </si>
  <si>
    <t xml:space="preserve">Чердачные лестницы Döcke </t>
  </si>
  <si>
    <t>Чердачная лестница DACHA 60*120*280 см</t>
  </si>
  <si>
    <t>4 992,48р.</t>
  </si>
  <si>
    <t>5 304,51р.</t>
  </si>
  <si>
    <t>6 240,60р.</t>
  </si>
  <si>
    <t>Чердачная лестница STANDARD 60*120*300 см</t>
  </si>
  <si>
    <t>5 971,73р.</t>
  </si>
  <si>
    <t>6 344,96р.</t>
  </si>
  <si>
    <t>7 464,66р.</t>
  </si>
  <si>
    <t>Чердачная лестница PREMIUM 70*120*300 см</t>
  </si>
  <si>
    <t>6 626,17р.</t>
  </si>
  <si>
    <t>7 040,30р.</t>
  </si>
  <si>
    <t>8 282,71р.</t>
  </si>
  <si>
    <t>Чердачная лестница LUX 70*120*300 см</t>
  </si>
  <si>
    <t>15 084,51р.</t>
  </si>
  <si>
    <t>16 027,29р.</t>
  </si>
  <si>
    <t>18 855,64р.</t>
  </si>
  <si>
    <t xml:space="preserve">Аксессуары к чердачным лестницам Döcke </t>
  </si>
  <si>
    <t>Наконечники, компл.</t>
  </si>
  <si>
    <t>376,54р.</t>
  </si>
  <si>
    <t>400,08р.</t>
  </si>
  <si>
    <t>470,68р.</t>
  </si>
  <si>
    <t xml:space="preserve">Поручень </t>
  </si>
  <si>
    <t>1 390,68р.</t>
  </si>
  <si>
    <t>1 477,59р.</t>
  </si>
  <si>
    <t>1 738,35р.</t>
  </si>
  <si>
    <t>FIBRA №1</t>
  </si>
  <si>
    <t>УПАКОВКА</t>
  </si>
  <si>
    <t xml:space="preserve"> ЦЕНА ЗА ЕДИНИЦУ</t>
  </si>
  <si>
    <t>РАСХОД</t>
  </si>
  <si>
    <t>ОБЛАСТЬ ПРИМЕНЕНИЯ</t>
  </si>
  <si>
    <t>FIBRAGOLD</t>
  </si>
  <si>
    <t>ВЫСОКОПРОЧНОЕ фиброволокно полипропиленовое</t>
  </si>
  <si>
    <t>6 мм, 12 мм, 20 мм, 40 мм</t>
  </si>
  <si>
    <t>мешок 15 кг</t>
  </si>
  <si>
    <t>/3255руб/мешок</t>
  </si>
  <si>
    <t>0,5-1 кг/</t>
  </si>
  <si>
    <t>60 гр/25 кг</t>
  </si>
  <si>
    <t>Применяется для устройства бетонных полов, полусухой стяжки пола, бетонов, ячеистых бетонов, в производстве пеноблоков. Предотвращает микрорастрескивание, повышает устойчивость к истиранию. Заменяет металлическую сетку.</t>
  </si>
  <si>
    <t>гофрокороб</t>
  </si>
  <si>
    <t>15 пакетов по 0,5 кг</t>
  </si>
  <si>
    <t>FIBRAPLATINUM</t>
  </si>
  <si>
    <t>ВЫСОКОПРОЧНОЕ фиброволокно полиэфирное</t>
  </si>
  <si>
    <t>Рекомендуем к применению для устройства бетонных полов, фундаментов, асфальтов, битумных составов. Предотвращает микрорастрескивание, повышает устойчивость к истиранию.Заменяет металлическую сетку.</t>
  </si>
  <si>
    <t>FIBRABAZALT</t>
  </si>
  <si>
    <t>ВЫСОКОПРОЧНОЕ фиброволокнобазальтовое</t>
  </si>
  <si>
    <t>1-2 кг/</t>
  </si>
  <si>
    <t>Армирующая добавка для бетона, стяжек, растворов на цементной и гипсовой основе, асфальта и других битумных материалов:</t>
  </si>
  <si>
    <t>заменяет стальную армирующую сетку;</t>
  </si>
  <si>
    <t>устойчиво к температурам свыше 1000 С.</t>
  </si>
  <si>
    <t>10 пакетов по 0,9 кг</t>
  </si>
  <si>
    <t>FIBRAMIX</t>
  </si>
  <si>
    <t>ВЫСОКОПРОЧНОЕфиброволокно полилипропиленовое 20 мм (500 гр), полиэфирное 12 мм (200 гр.)</t>
  </si>
  <si>
    <t>двойная упаковка</t>
  </si>
  <si>
    <t>(500 гр + 200 гр)</t>
  </si>
  <si>
    <t>1уп./</t>
  </si>
  <si>
    <t xml:space="preserve">За счет использования 2-х видов синтетических волокон в составе,FIBRAMIXсочетает в себе качественные характеристики двух компонентов. Обеспечивает 3D-армирование по всему объему бетона, ратворов. Заменяет металлическую сетку. </t>
  </si>
  <si>
    <t>285руб/кг</t>
  </si>
  <si>
    <t>170 руб/пакет</t>
  </si>
  <si>
    <t>/2535 руб/короб</t>
  </si>
  <si>
    <t>285руб/кг/</t>
  </si>
  <si>
    <t>4230 руб/мешок</t>
  </si>
  <si>
    <t>170 руб/пакет/</t>
  </si>
  <si>
    <t>2535руб/короб</t>
  </si>
  <si>
    <t>4230руб/мешок</t>
  </si>
  <si>
    <t>250 руб/пакет/</t>
  </si>
  <si>
    <t>2470 руб/короб</t>
  </si>
  <si>
    <t>250 руб/пакет</t>
  </si>
  <si>
    <t>АРМАТУРА стеклопластиковая</t>
  </si>
  <si>
    <t>ЦЕНА 1 КВ.М. (М2)</t>
  </si>
  <si>
    <t>Арматура АКС-4</t>
  </si>
  <si>
    <t>Арматура АКС-5</t>
  </si>
  <si>
    <t>Арматура АКС-6</t>
  </si>
  <si>
    <t>Арматура АКС-8</t>
  </si>
  <si>
    <t>Арматура АКС-10</t>
  </si>
  <si>
    <t>Арматура АКС-12</t>
  </si>
  <si>
    <t>8,50 руб</t>
  </si>
  <si>
    <t>12,10 руб</t>
  </si>
  <si>
    <t>7,10 руб</t>
  </si>
  <si>
    <t>16,90 руб</t>
  </si>
  <si>
    <t>26,00 руб</t>
  </si>
  <si>
    <t>36,40 руб</t>
  </si>
  <si>
    <t xml:space="preserve">Наименование продукции   </t>
  </si>
  <si>
    <t>Сухие строительные смеси ЭТАЛОН</t>
  </si>
  <si>
    <t>№ п/п</t>
  </si>
  <si>
    <t>категория</t>
  </si>
  <si>
    <t>наименование</t>
  </si>
  <si>
    <t>фасовка, кг</t>
  </si>
  <si>
    <t>самовывоз дилер не ВРН</t>
  </si>
  <si>
    <t>дилер ВРН /предоплата</t>
  </si>
  <si>
    <t>самовывоз дилер ВРН</t>
  </si>
  <si>
    <t xml:space="preserve">входная цена к дилеру </t>
  </si>
  <si>
    <t xml:space="preserve">оптовик </t>
  </si>
  <si>
    <t>DIY</t>
  </si>
  <si>
    <t xml:space="preserve">стройка </t>
  </si>
  <si>
    <t>вход от дилера в РТТ</t>
  </si>
  <si>
    <t>РТТ/полка</t>
  </si>
  <si>
    <t>дилер предоплата+самовывоз не ВРН</t>
  </si>
  <si>
    <t>штукатурка гипсовая</t>
  </si>
  <si>
    <t>Гравитон Штукатурка ручного нанесения (30 кг)</t>
  </si>
  <si>
    <t>Гравитон Штукатурка универсальная (30 кг)</t>
  </si>
  <si>
    <t>штукатурка цеметная</t>
  </si>
  <si>
    <t>Цементная штукатурка (25 кг)</t>
  </si>
  <si>
    <t>шпаклевка полимерная</t>
  </si>
  <si>
    <t>Гравитон шпатлевка полимерная (20 кг)</t>
  </si>
  <si>
    <t>шпаклевка гипсовая</t>
  </si>
  <si>
    <t>Гравитон шпатлевка гипсовая (20 кг)</t>
  </si>
  <si>
    <t>пол наливной</t>
  </si>
  <si>
    <t>999 Нивелир Ультра наливной пол (20кг)</t>
  </si>
  <si>
    <t>Гравитон Экопол № 2  гипсовый пол  (25 кг)</t>
  </si>
  <si>
    <t>клей плиточный</t>
  </si>
  <si>
    <t>КЭ (25 кг)</t>
  </si>
  <si>
    <t>КС (25 кг)</t>
  </si>
  <si>
    <t>Гравитон Клей Оптимальный  (25 кг)</t>
  </si>
  <si>
    <t>монтажно-кладочная смесь</t>
  </si>
  <si>
    <t>ГСБ (25 кг)</t>
  </si>
  <si>
    <t>КГБ (25 кг)</t>
  </si>
  <si>
    <t>КФ (25 кг)</t>
  </si>
  <si>
    <t>Гарцовки</t>
  </si>
  <si>
    <t>М-150 (25 кг)</t>
  </si>
  <si>
    <t>М-150 (40 кг)</t>
  </si>
  <si>
    <t>гарцовки</t>
  </si>
  <si>
    <t>М-300 (25 кг)</t>
  </si>
  <si>
    <t>М-300 (40 кг)</t>
  </si>
  <si>
    <t>штукатурка</t>
  </si>
  <si>
    <t>Гравитон Штукатурка машинного нанесения (30 кг)</t>
  </si>
  <si>
    <t>ГСБ с ПМД  (25 кг)</t>
  </si>
  <si>
    <t>КГБ с ПМД (25 кг)</t>
  </si>
  <si>
    <t>КФ с ПМД (25 кг)</t>
  </si>
  <si>
    <t>М-150  белая (50 кг)</t>
  </si>
  <si>
    <t>М-150  черная (50 кг)</t>
  </si>
  <si>
    <t>М-150 с известью (25 кг)</t>
  </si>
  <si>
    <t>СМ-15 (25 кг)</t>
  </si>
  <si>
    <t>СМ-15 (40 кг)</t>
  </si>
  <si>
    <t>СМ-30 (25 кг)</t>
  </si>
  <si>
    <t>СМ-30 (40 кг)</t>
  </si>
  <si>
    <t>УН (25)</t>
  </si>
  <si>
    <t>Формматэкон  НЦП цем. пол  (20 кг)</t>
  </si>
  <si>
    <t>Формматэкон СМ 15 (25 кг)</t>
  </si>
  <si>
    <t>Формматэкон СМ 15 (50 кг)</t>
  </si>
  <si>
    <t>Формматэкон СМ 30 (25 кг)</t>
  </si>
  <si>
    <t>Формматэкон СМ 30 (50 кг)</t>
  </si>
  <si>
    <t>Сыпучие товары</t>
  </si>
  <si>
    <t>Песок кварцевый для детских площадок 0,16-0,63 (25кг)</t>
  </si>
  <si>
    <t>Песок кварцевый желтый оттертый (0,16-0,63мм) (25кг) брэнд 999,9</t>
  </si>
  <si>
    <t>Камень гранитный 40-70 фр.25кг</t>
  </si>
  <si>
    <t>Керамзит ф.20-40 (25 дм3)</t>
  </si>
  <si>
    <t>Керамзит ф. 5-20 (25 дм3)</t>
  </si>
  <si>
    <t>Щебень ф5-20 (25)</t>
  </si>
  <si>
    <t xml:space="preserve">ООО "ЦЕНТР-ТИМ"   Платонов Иван 89536104242  centrtim57@mail.ru  </t>
  </si>
  <si>
    <t>ЦЕНА, РОЗНИЦА</t>
  </si>
  <si>
    <t>ФОРММАТ "999"</t>
  </si>
  <si>
    <t>ПРАЙС-ЛИСТ                       Базальтовый утеплитель</t>
  </si>
  <si>
    <r>
      <rPr>
        <sz val="10"/>
        <rFont val="Arial"/>
        <family val="2"/>
      </rPr>
      <t xml:space="preserve">Цена указана с учетом доставки до </t>
    </r>
    <r>
      <rPr>
        <b/>
        <sz val="10"/>
        <rFont val="Georgia"/>
        <family val="1"/>
      </rPr>
      <t>г. Орел.</t>
    </r>
  </si>
  <si>
    <r>
      <rPr>
        <sz val="10"/>
        <rFont val="Arial"/>
        <family val="2"/>
      </rPr>
      <t xml:space="preserve">Цена указана с условием загрузки полной фуры материала </t>
    </r>
    <r>
      <rPr>
        <b/>
        <sz val="10"/>
        <rFont val="Georgia"/>
        <family val="1"/>
      </rPr>
      <t>объемом не менее 76,032 м3.</t>
    </r>
  </si>
  <si>
    <r>
      <rPr>
        <sz val="10"/>
        <rFont val="Arial"/>
        <family val="2"/>
      </rPr>
      <t>Срок поставки: по согласованию сторон.</t>
    </r>
  </si>
  <si>
    <t>Конт тел.</t>
  </si>
  <si>
    <t>Иван</t>
  </si>
  <si>
    <t>Цена руб/м3, Розница</t>
  </si>
  <si>
    <t>Цена руб/м3, Опт</t>
  </si>
  <si>
    <t>6420,,00</t>
  </si>
  <si>
    <t>Действует с 17.06.2019 г</t>
  </si>
  <si>
    <t>DoorHan Лайт Экстра</t>
  </si>
  <si>
    <t>DoorHan Лайт</t>
  </si>
  <si>
    <t>DoorHan Универсал</t>
  </si>
  <si>
    <t>DoorHan Акустик</t>
  </si>
  <si>
    <t>DoorHan Вент Оптима</t>
  </si>
  <si>
    <t>DoorHan Вент</t>
  </si>
  <si>
    <t>DoorHan Руф Н Оптима</t>
  </si>
  <si>
    <t>DoorHan Руф Н</t>
  </si>
  <si>
    <t>DoorHan Фасад Универсал</t>
  </si>
  <si>
    <t>DoorHan Флор Оптима</t>
  </si>
  <si>
    <t>DoorHan Фасад Оптима</t>
  </si>
  <si>
    <t>DoorHan Фасад</t>
  </si>
  <si>
    <t>DoorHan Руф</t>
  </si>
  <si>
    <t>DoorHan Руф В Оптима</t>
  </si>
  <si>
    <t>DoorHan Руф В</t>
  </si>
  <si>
    <t>DoorHan Руф В Экстра</t>
  </si>
  <si>
    <r>
      <rPr>
        <sz val="12"/>
        <rFont val="Georgia"/>
        <family val="1"/>
      </rPr>
      <t>Плотность,
кг/м3</t>
    </r>
  </si>
  <si>
    <t xml:space="preserve">DoorHan </t>
  </si>
  <si>
    <r>
      <rPr>
        <b/>
        <sz val="11"/>
        <color theme="1"/>
        <rFont val="Palatino Linotype"/>
        <family val="1"/>
        <charset val="204"/>
      </rPr>
      <t>ООО "ЦЕНТР-ТИМ"</t>
    </r>
    <r>
      <rPr>
        <sz val="11"/>
        <color theme="1"/>
        <rFont val="Palatino Linotype"/>
        <family val="1"/>
        <charset val="204"/>
      </rPr>
      <t xml:space="preserve">   89536104242 Платонов Иван</t>
    </r>
    <r>
      <rPr>
        <b/>
        <sz val="11"/>
        <color theme="1"/>
        <rFont val="Palatino Linotype"/>
        <family val="1"/>
        <charset val="204"/>
      </rPr>
      <t xml:space="preserve">  </t>
    </r>
    <r>
      <rPr>
        <b/>
        <u/>
        <sz val="11"/>
        <color theme="1"/>
        <rFont val="Palatino Linotype"/>
        <family val="1"/>
        <charset val="204"/>
      </rPr>
      <t>centrtim57@mail.ru   17</t>
    </r>
    <r>
      <rPr>
        <b/>
        <u/>
        <sz val="11"/>
        <color rgb="FFFF0000"/>
        <rFont val="Palatino Linotype"/>
        <family val="1"/>
        <charset val="204"/>
      </rPr>
      <t>/06/19</t>
    </r>
  </si>
</sst>
</file>

<file path=xl/styles.xml><?xml version="1.0" encoding="utf-8"?>
<styleSheet xmlns="http://schemas.openxmlformats.org/spreadsheetml/2006/main">
  <numFmts count="5">
    <numFmt numFmtId="43" formatCode="_-* #,##0.00\ _₽_-;\-* #,##0.00\ _₽_-;_-* &quot;-&quot;??\ _₽_-;_-@_-"/>
    <numFmt numFmtId="164" formatCode="_-* #,##0.00_р_._-;\-* #,##0.00_р_._-;_-* &quot;-&quot;??_р_._-;_-@_-"/>
    <numFmt numFmtId="165" formatCode="0.0"/>
    <numFmt numFmtId="166" formatCode="0.000"/>
    <numFmt numFmtId="167" formatCode="#,##0.00&quot;р.&quot;"/>
  </numFmts>
  <fonts count="205">
    <font>
      <sz val="11"/>
      <color theme="1"/>
      <name val="Calibri"/>
      <family val="2"/>
      <charset val="204"/>
      <scheme val="minor"/>
    </font>
    <font>
      <sz val="10"/>
      <color theme="1"/>
      <name val="Palatino Linotype"/>
      <family val="2"/>
      <charset val="204"/>
    </font>
    <font>
      <b/>
      <sz val="11"/>
      <color theme="1"/>
      <name val="Palatino Linotype"/>
      <family val="1"/>
      <charset val="204"/>
    </font>
    <font>
      <sz val="10"/>
      <color theme="1"/>
      <name val="Palatino Linotype"/>
      <family val="1"/>
      <charset val="204"/>
    </font>
    <font>
      <u/>
      <sz val="11"/>
      <color theme="10"/>
      <name val="Calibri"/>
      <family val="2"/>
      <charset val="204"/>
    </font>
    <font>
      <b/>
      <sz val="11"/>
      <name val="Palatino Linotype"/>
      <family val="1"/>
      <charset val="204"/>
    </font>
    <font>
      <b/>
      <sz val="10"/>
      <color theme="1"/>
      <name val="Palatino Linotype"/>
      <family val="1"/>
      <charset val="204"/>
    </font>
    <font>
      <b/>
      <sz val="10"/>
      <name val="Palatino Linotype"/>
      <family val="1"/>
      <charset val="204"/>
    </font>
    <font>
      <u/>
      <sz val="10"/>
      <color theme="1"/>
      <name val="Palatino Linotype"/>
      <family val="1"/>
      <charset val="204"/>
    </font>
    <font>
      <sz val="10"/>
      <color rgb="FF000000"/>
      <name val="Palatino Linotype"/>
      <family val="1"/>
      <charset val="204"/>
    </font>
    <font>
      <b/>
      <sz val="10"/>
      <color rgb="FF000000"/>
      <name val="Palatino Linotype"/>
      <family val="1"/>
      <charset val="204"/>
    </font>
    <font>
      <sz val="11"/>
      <color theme="1"/>
      <name val="Palatino Linotype"/>
      <family val="1"/>
      <charset val="204"/>
    </font>
    <font>
      <sz val="10"/>
      <name val="Palatino Linotype"/>
      <family val="1"/>
      <charset val="204"/>
    </font>
    <font>
      <b/>
      <sz val="9"/>
      <color indexed="81"/>
      <name val="Tahoma"/>
      <family val="2"/>
      <charset val="204"/>
    </font>
    <font>
      <sz val="10"/>
      <color rgb="FFFF0000"/>
      <name val="Palatino Linotype"/>
      <family val="1"/>
      <charset val="204"/>
    </font>
    <font>
      <sz val="11"/>
      <color rgb="FFFF0000"/>
      <name val="Palatino Linotype"/>
      <family val="1"/>
      <charset val="204"/>
    </font>
    <font>
      <sz val="10"/>
      <color rgb="FFC00000"/>
      <name val="Palatino Linotype"/>
      <family val="1"/>
      <charset val="204"/>
    </font>
    <font>
      <sz val="8"/>
      <color theme="1"/>
      <name val="Palatino Linotype"/>
      <family val="1"/>
      <charset val="204"/>
    </font>
    <font>
      <b/>
      <sz val="9"/>
      <name val="Palatino Linotype"/>
      <family val="1"/>
      <charset val="204"/>
    </font>
    <font>
      <b/>
      <u/>
      <sz val="10"/>
      <name val="Palatino Linotype"/>
      <family val="1"/>
      <charset val="204"/>
    </font>
    <font>
      <b/>
      <sz val="9"/>
      <color theme="1"/>
      <name val="Palatino Linotype"/>
      <family val="1"/>
      <charset val="204"/>
    </font>
    <font>
      <b/>
      <u/>
      <sz val="10"/>
      <color theme="1"/>
      <name val="Palatino Linotype"/>
      <family val="1"/>
      <charset val="204"/>
    </font>
    <font>
      <b/>
      <u/>
      <sz val="10"/>
      <color rgb="FFFF0000"/>
      <name val="Palatino Linotype"/>
      <family val="1"/>
      <charset val="204"/>
    </font>
    <font>
      <b/>
      <u/>
      <sz val="8"/>
      <color theme="0"/>
      <name val="Calibri"/>
      <family val="2"/>
      <charset val="204"/>
    </font>
    <font>
      <sz val="10"/>
      <color rgb="FF000000"/>
      <name val="Arial"/>
      <family val="2"/>
      <charset val="204"/>
    </font>
    <font>
      <b/>
      <sz val="10"/>
      <color rgb="FFFF0000"/>
      <name val="Palatino Linotype"/>
      <family val="1"/>
      <charset val="204"/>
    </font>
    <font>
      <u/>
      <sz val="10"/>
      <color theme="10"/>
      <name val="Palatino Linotype"/>
      <family val="1"/>
      <charset val="204"/>
    </font>
    <font>
      <sz val="12"/>
      <name val="Arial"/>
      <family val="2"/>
      <charset val="204"/>
    </font>
    <font>
      <b/>
      <sz val="10"/>
      <name val="Times New Roman"/>
      <family val="1"/>
      <charset val="204"/>
    </font>
    <font>
      <b/>
      <sz val="10"/>
      <name val="Times New Roman"/>
      <family val="1"/>
    </font>
    <font>
      <sz val="11"/>
      <color theme="1"/>
      <name val="Calibri"/>
      <family val="2"/>
      <charset val="204"/>
      <scheme val="minor"/>
    </font>
    <font>
      <b/>
      <sz val="16"/>
      <name val="Times New Roman"/>
      <family val="1"/>
      <charset val="204"/>
    </font>
    <font>
      <b/>
      <sz val="11"/>
      <name val="Times New Roman"/>
      <family val="1"/>
      <charset val="204"/>
    </font>
    <font>
      <sz val="10"/>
      <name val="Times New Roman"/>
      <family val="1"/>
      <charset val="204"/>
    </font>
    <font>
      <sz val="12"/>
      <name val="Times New Roman"/>
      <family val="1"/>
      <charset val="204"/>
    </font>
    <font>
      <i/>
      <sz val="11"/>
      <name val="Times New Roman"/>
      <family val="1"/>
      <charset val="204"/>
    </font>
    <font>
      <b/>
      <i/>
      <sz val="11"/>
      <name val="Times New Roman"/>
      <family val="1"/>
      <charset val="204"/>
    </font>
    <font>
      <sz val="16"/>
      <color theme="1"/>
      <name val="Calibri"/>
      <family val="2"/>
      <charset val="204"/>
      <scheme val="minor"/>
    </font>
    <font>
      <sz val="14"/>
      <color theme="1"/>
      <name val="Calibri"/>
      <family val="2"/>
      <charset val="204"/>
      <scheme val="minor"/>
    </font>
    <font>
      <b/>
      <sz val="14"/>
      <name val="Arial"/>
      <family val="2"/>
      <charset val="204"/>
    </font>
    <font>
      <sz val="14"/>
      <name val="Arial"/>
      <family val="2"/>
      <charset val="204"/>
    </font>
    <font>
      <i/>
      <sz val="10"/>
      <name val="Arial"/>
      <family val="2"/>
      <charset val="204"/>
    </font>
    <font>
      <u/>
      <sz val="12"/>
      <name val="Arial"/>
      <family val="2"/>
      <charset val="204"/>
    </font>
    <font>
      <sz val="13"/>
      <name val="Arial"/>
      <family val="2"/>
      <charset val="204"/>
    </font>
    <font>
      <sz val="13"/>
      <color theme="1"/>
      <name val="Arial"/>
      <family val="2"/>
      <charset val="204"/>
    </font>
    <font>
      <b/>
      <sz val="11"/>
      <color theme="1"/>
      <name val="Calibri"/>
      <family val="2"/>
      <charset val="204"/>
      <scheme val="minor"/>
    </font>
    <font>
      <sz val="10"/>
      <color theme="1"/>
      <name val="Calibri"/>
      <family val="2"/>
      <scheme val="minor"/>
    </font>
    <font>
      <sz val="12"/>
      <color theme="1"/>
      <name val="Times New Roman"/>
      <family val="1"/>
      <charset val="204"/>
    </font>
    <font>
      <sz val="10"/>
      <color theme="1"/>
      <name val="Times New Roman"/>
      <family val="1"/>
      <charset val="204"/>
    </font>
    <font>
      <sz val="8"/>
      <color theme="1"/>
      <name val="Times New Roman"/>
      <family val="1"/>
      <charset val="204"/>
    </font>
    <font>
      <i/>
      <sz val="12"/>
      <color theme="1"/>
      <name val="Times New Roman"/>
      <family val="1"/>
      <charset val="204"/>
    </font>
    <font>
      <i/>
      <sz val="10"/>
      <color theme="1"/>
      <name val="Times New Roman"/>
      <family val="1"/>
      <charset val="204"/>
    </font>
    <font>
      <b/>
      <sz val="12"/>
      <color theme="1"/>
      <name val="Times New Roman"/>
      <family val="1"/>
      <charset val="204"/>
    </font>
    <font>
      <b/>
      <sz val="10"/>
      <color theme="1"/>
      <name val="Times New Roman"/>
      <family val="1"/>
      <charset val="204"/>
    </font>
    <font>
      <b/>
      <sz val="14"/>
      <color theme="1"/>
      <name val="Times New Roman"/>
      <family val="1"/>
      <charset val="204"/>
    </font>
    <font>
      <sz val="14"/>
      <color theme="1"/>
      <name val="Times New Roman"/>
      <family val="1"/>
      <charset val="204"/>
    </font>
    <font>
      <b/>
      <sz val="16"/>
      <color theme="1"/>
      <name val="Times New Roman"/>
      <family val="1"/>
      <charset val="204"/>
    </font>
    <font>
      <sz val="11"/>
      <color theme="1"/>
      <name val="Times New Roman"/>
      <family val="1"/>
      <charset val="204"/>
    </font>
    <font>
      <sz val="10"/>
      <name val="Arial"/>
      <family val="2"/>
      <charset val="204"/>
    </font>
    <font>
      <sz val="8"/>
      <name val="Arial"/>
      <family val="2"/>
      <charset val="204"/>
    </font>
    <font>
      <b/>
      <sz val="16"/>
      <color theme="1"/>
      <name val="Calibri"/>
      <family val="2"/>
      <charset val="204"/>
      <scheme val="minor"/>
    </font>
    <font>
      <b/>
      <sz val="26"/>
      <color rgb="FF244062"/>
      <name val="Arial"/>
      <family val="2"/>
      <charset val="204"/>
    </font>
    <font>
      <b/>
      <sz val="24"/>
      <color rgb="FF244062"/>
      <name val="Tahoma"/>
      <family val="2"/>
      <charset val="204"/>
    </font>
    <font>
      <b/>
      <sz val="10"/>
      <name val="Calibri"/>
      <family val="2"/>
      <charset val="204"/>
      <scheme val="minor"/>
    </font>
    <font>
      <b/>
      <sz val="10"/>
      <name val="Tahoma"/>
      <family val="2"/>
      <charset val="204"/>
    </font>
    <font>
      <b/>
      <sz val="8"/>
      <name val="Tahoma"/>
      <family val="2"/>
      <charset val="204"/>
    </font>
    <font>
      <b/>
      <sz val="10"/>
      <name val="Arial"/>
      <family val="2"/>
      <charset val="204"/>
    </font>
    <font>
      <b/>
      <sz val="8"/>
      <name val="Arial"/>
      <family val="2"/>
      <charset val="204"/>
    </font>
    <font>
      <b/>
      <sz val="8"/>
      <name val="Arial Cyr"/>
      <charset val="204"/>
    </font>
    <font>
      <b/>
      <sz val="10"/>
      <color rgb="FF000000"/>
      <name val="Tahoma"/>
      <family val="2"/>
      <charset val="204"/>
    </font>
    <font>
      <sz val="9"/>
      <color rgb="FF000000"/>
      <name val="Tahoma"/>
      <family val="2"/>
      <charset val="204"/>
    </font>
    <font>
      <sz val="6"/>
      <color rgb="FF000000"/>
      <name val="Tahoma"/>
      <family val="2"/>
      <charset val="204"/>
    </font>
    <font>
      <sz val="10"/>
      <name val="Tahoma"/>
      <family val="2"/>
      <charset val="204"/>
    </font>
    <font>
      <b/>
      <sz val="12"/>
      <color indexed="8"/>
      <name val="Arial Cyr"/>
      <charset val="204"/>
    </font>
    <font>
      <sz val="8"/>
      <color indexed="8"/>
      <name val="Arial Cyr"/>
      <charset val="204"/>
    </font>
    <font>
      <sz val="9"/>
      <name val="Tahoma"/>
      <family val="2"/>
      <charset val="204"/>
    </font>
    <font>
      <sz val="6"/>
      <name val="Tahoma"/>
      <family val="2"/>
      <charset val="204"/>
    </font>
    <font>
      <b/>
      <sz val="12"/>
      <name val="Arial Cyr"/>
      <charset val="204"/>
    </font>
    <font>
      <b/>
      <sz val="18"/>
      <name val="Arial"/>
      <family val="2"/>
      <charset val="204"/>
    </font>
    <font>
      <sz val="18"/>
      <name val="Calibri"/>
      <family val="2"/>
      <charset val="204"/>
      <scheme val="minor"/>
    </font>
    <font>
      <b/>
      <sz val="18"/>
      <name val="Calibri"/>
      <family val="2"/>
      <charset val="204"/>
      <scheme val="minor"/>
    </font>
    <font>
      <sz val="11"/>
      <name val="Calibri"/>
      <family val="2"/>
      <charset val="204"/>
      <scheme val="minor"/>
    </font>
    <font>
      <b/>
      <sz val="10"/>
      <color theme="0"/>
      <name val="Calibri"/>
      <family val="2"/>
      <charset val="204"/>
      <scheme val="minor"/>
    </font>
    <font>
      <b/>
      <u/>
      <sz val="11"/>
      <color theme="1"/>
      <name val="Calibri"/>
      <family val="2"/>
      <charset val="204"/>
      <scheme val="minor"/>
    </font>
    <font>
      <sz val="11"/>
      <color theme="1"/>
      <name val="Calibri"/>
      <family val="2"/>
      <scheme val="minor"/>
    </font>
    <font>
      <b/>
      <sz val="8"/>
      <name val="Arial"/>
      <family val="2"/>
    </font>
    <font>
      <b/>
      <sz val="12"/>
      <color theme="1"/>
      <name val="Calibri"/>
      <family val="2"/>
      <charset val="204"/>
      <scheme val="minor"/>
    </font>
    <font>
      <b/>
      <sz val="14"/>
      <color theme="1"/>
      <name val="Calibri"/>
      <family val="2"/>
      <charset val="204"/>
      <scheme val="minor"/>
    </font>
    <font>
      <sz val="11"/>
      <name val="Arial"/>
      <family val="2"/>
      <charset val="204"/>
    </font>
    <font>
      <sz val="12"/>
      <color theme="1"/>
      <name val="Calibri"/>
      <family val="2"/>
      <charset val="204"/>
      <scheme val="minor"/>
    </font>
    <font>
      <b/>
      <sz val="7"/>
      <color rgb="FF000000"/>
      <name val="Arial"/>
      <family val="2"/>
    </font>
    <font>
      <b/>
      <sz val="7"/>
      <name val="Arial"/>
      <family val="2"/>
      <charset val="204"/>
    </font>
    <font>
      <b/>
      <sz val="7"/>
      <name val="Arial"/>
      <family val="2"/>
    </font>
    <font>
      <b/>
      <sz val="8"/>
      <name val="Arial"/>
      <family val="2"/>
      <charset val="204"/>
    </font>
    <font>
      <sz val="7"/>
      <color rgb="FF000000"/>
      <name val="Arial"/>
      <family val="2"/>
    </font>
    <font>
      <b/>
      <i/>
      <sz val="7"/>
      <name val="Arial"/>
      <family val="2"/>
    </font>
    <font>
      <sz val="7"/>
      <name val="Arial"/>
      <family val="2"/>
      <charset val="204"/>
    </font>
    <font>
      <sz val="7"/>
      <name val="Arial"/>
      <family val="2"/>
    </font>
    <font>
      <b/>
      <i/>
      <sz val="7"/>
      <name val="Arial"/>
      <family val="2"/>
      <charset val="204"/>
    </font>
    <font>
      <b/>
      <sz val="7"/>
      <color rgb="FFCC0000"/>
      <name val="Arial"/>
      <family val="2"/>
    </font>
    <font>
      <b/>
      <sz val="12"/>
      <name val="Arial"/>
      <family val="2"/>
      <charset val="204"/>
    </font>
    <font>
      <b/>
      <sz val="12"/>
      <color rgb="FF000000"/>
      <name val="Arial"/>
      <family val="2"/>
      <charset val="204"/>
    </font>
    <font>
      <sz val="10"/>
      <color rgb="FF000000"/>
      <name val="Arial"/>
      <family val="2"/>
    </font>
    <font>
      <sz val="10"/>
      <name val="Arial"/>
      <family val="2"/>
    </font>
    <font>
      <b/>
      <sz val="10"/>
      <color rgb="FF000000"/>
      <name val="Arial"/>
      <family val="2"/>
    </font>
    <font>
      <sz val="10"/>
      <color theme="1"/>
      <name val="Calibri"/>
      <family val="2"/>
      <charset val="204"/>
      <scheme val="minor"/>
    </font>
    <font>
      <b/>
      <sz val="10"/>
      <name val="Arial"/>
      <family val="2"/>
    </font>
    <font>
      <b/>
      <sz val="10"/>
      <color rgb="FFCC0000"/>
      <name val="Arial"/>
      <family val="2"/>
    </font>
    <font>
      <sz val="10"/>
      <color rgb="FFCC0000"/>
      <name val="Arial"/>
      <family val="2"/>
    </font>
    <font>
      <b/>
      <sz val="11"/>
      <name val="Arial"/>
      <family val="2"/>
      <charset val="204"/>
    </font>
    <font>
      <b/>
      <sz val="20"/>
      <color theme="1"/>
      <name val="Calibri"/>
      <family val="2"/>
      <charset val="204"/>
      <scheme val="minor"/>
    </font>
    <font>
      <sz val="20"/>
      <color theme="1"/>
      <name val="Calibri"/>
      <family val="2"/>
      <charset val="204"/>
      <scheme val="minor"/>
    </font>
    <font>
      <b/>
      <u/>
      <sz val="7"/>
      <name val="Arial"/>
      <family val="2"/>
      <charset val="204"/>
    </font>
    <font>
      <b/>
      <sz val="9"/>
      <name val="Arial"/>
      <family val="2"/>
      <charset val="204"/>
    </font>
    <font>
      <b/>
      <u/>
      <sz val="10"/>
      <name val="Arial"/>
      <family val="2"/>
      <charset val="204"/>
    </font>
    <font>
      <b/>
      <sz val="22"/>
      <name val="Arial Narrow"/>
      <family val="2"/>
      <charset val="204"/>
    </font>
    <font>
      <b/>
      <sz val="12"/>
      <name val="Arial Narrow"/>
      <family val="2"/>
      <charset val="204"/>
    </font>
    <font>
      <sz val="9"/>
      <name val="Arial Narrow"/>
      <family val="2"/>
      <charset val="204"/>
    </font>
    <font>
      <b/>
      <sz val="9"/>
      <name val="Arial Narrow"/>
      <family val="2"/>
      <charset val="204"/>
    </font>
    <font>
      <sz val="9"/>
      <color theme="1"/>
      <name val="Arial Narrow"/>
      <family val="2"/>
      <charset val="204"/>
    </font>
    <font>
      <b/>
      <sz val="11"/>
      <color theme="1"/>
      <name val="Batang"/>
      <family val="1"/>
      <charset val="204"/>
    </font>
    <font>
      <sz val="11"/>
      <name val="Arial Narrow"/>
      <family val="2"/>
      <charset val="204"/>
    </font>
    <font>
      <b/>
      <u/>
      <sz val="11"/>
      <name val="Arial Narrow"/>
      <family val="2"/>
      <charset val="204"/>
    </font>
    <font>
      <u/>
      <sz val="11"/>
      <color theme="1"/>
      <name val="Calibri"/>
      <family val="2"/>
      <scheme val="minor"/>
    </font>
    <font>
      <b/>
      <sz val="11"/>
      <name val="Arial Narrow"/>
      <family val="2"/>
      <charset val="204"/>
    </font>
    <font>
      <b/>
      <sz val="11"/>
      <color theme="1"/>
      <name val="Arial Narrow"/>
      <family val="2"/>
      <charset val="204"/>
    </font>
    <font>
      <sz val="11"/>
      <color rgb="FFFF0000"/>
      <name val="Arial Narrow"/>
      <family val="2"/>
      <charset val="204"/>
    </font>
    <font>
      <sz val="11"/>
      <color rgb="FF0000FF"/>
      <name val="Arial Narrow"/>
      <family val="2"/>
      <charset val="204"/>
    </font>
    <font>
      <sz val="11"/>
      <color theme="1"/>
      <name val="Arial Narrow"/>
      <family val="2"/>
      <charset val="204"/>
    </font>
    <font>
      <i/>
      <sz val="11"/>
      <name val="Arial Narrow"/>
      <family val="2"/>
      <charset val="204"/>
    </font>
    <font>
      <b/>
      <i/>
      <sz val="11"/>
      <name val="Arial Narrow"/>
      <family val="2"/>
      <charset val="204"/>
    </font>
    <font>
      <i/>
      <sz val="11"/>
      <color rgb="FFFF0000"/>
      <name val="Arial Narrow"/>
      <family val="2"/>
      <charset val="204"/>
    </font>
    <font>
      <i/>
      <sz val="11"/>
      <color theme="1"/>
      <name val="Arial Narrow"/>
      <family val="2"/>
      <charset val="204"/>
    </font>
    <font>
      <b/>
      <sz val="20"/>
      <name val="Arial Narrow"/>
      <family val="2"/>
      <charset val="204"/>
    </font>
    <font>
      <b/>
      <sz val="10"/>
      <name val="Arial Narrow"/>
      <family val="2"/>
      <charset val="204"/>
    </font>
    <font>
      <b/>
      <u/>
      <sz val="11"/>
      <color theme="1"/>
      <name val="Arial Narrow"/>
      <family val="2"/>
      <charset val="204"/>
    </font>
    <font>
      <b/>
      <sz val="24"/>
      <name val="Arial Narrow"/>
      <family val="2"/>
      <charset val="204"/>
    </font>
    <font>
      <sz val="12"/>
      <color theme="1"/>
      <name val="Calibri"/>
      <family val="2"/>
      <scheme val="minor"/>
    </font>
    <font>
      <sz val="18"/>
      <color theme="1"/>
      <name val="Calibri"/>
      <family val="2"/>
      <charset val="204"/>
      <scheme val="minor"/>
    </font>
    <font>
      <sz val="22"/>
      <color theme="1"/>
      <name val="Calibri"/>
      <family val="2"/>
      <charset val="204"/>
      <scheme val="minor"/>
    </font>
    <font>
      <sz val="24"/>
      <color theme="1"/>
      <name val="Calibri"/>
      <family val="2"/>
      <charset val="204"/>
      <scheme val="minor"/>
    </font>
    <font>
      <b/>
      <sz val="18"/>
      <name val="Arial Narrow"/>
      <family val="2"/>
      <charset val="204"/>
    </font>
    <font>
      <b/>
      <sz val="16"/>
      <name val="Arial Narrow"/>
      <family val="2"/>
      <charset val="204"/>
    </font>
    <font>
      <b/>
      <sz val="11"/>
      <color theme="1"/>
      <name val="Calibri"/>
      <family val="2"/>
      <scheme val="minor"/>
    </font>
    <font>
      <b/>
      <sz val="12"/>
      <color indexed="8"/>
      <name val="Arial"/>
      <family val="2"/>
      <charset val="204"/>
    </font>
    <font>
      <b/>
      <sz val="8"/>
      <color indexed="10"/>
      <name val="Arial"/>
      <family val="2"/>
      <charset val="204"/>
    </font>
    <font>
      <b/>
      <sz val="13"/>
      <color indexed="8"/>
      <name val="Arial"/>
      <family val="2"/>
      <charset val="204"/>
    </font>
    <font>
      <sz val="8"/>
      <color indexed="8"/>
      <name val="Arial"/>
      <family val="2"/>
      <charset val="204"/>
    </font>
    <font>
      <sz val="10"/>
      <name val="Arial Cyr"/>
      <charset val="204"/>
    </font>
    <font>
      <b/>
      <sz val="9"/>
      <color indexed="8"/>
      <name val="Arial"/>
      <family val="2"/>
      <charset val="204"/>
    </font>
    <font>
      <sz val="12"/>
      <color indexed="8"/>
      <name val="Arial"/>
      <family val="2"/>
      <charset val="204"/>
    </font>
    <font>
      <sz val="10"/>
      <color indexed="8"/>
      <name val="Arial"/>
      <family val="2"/>
      <charset val="204"/>
    </font>
    <font>
      <sz val="10"/>
      <color indexed="10"/>
      <name val="Arial"/>
      <family val="2"/>
      <charset val="204"/>
    </font>
    <font>
      <b/>
      <sz val="13"/>
      <name val="Arial"/>
      <family val="2"/>
      <charset val="204"/>
    </font>
    <font>
      <sz val="12"/>
      <name val="Arial Cyr"/>
      <charset val="204"/>
    </font>
    <font>
      <sz val="11"/>
      <color indexed="8"/>
      <name val="Times New Roman"/>
      <family val="1"/>
      <charset val="204"/>
    </font>
    <font>
      <sz val="9"/>
      <color indexed="8"/>
      <name val="Times New Roman"/>
      <family val="1"/>
      <charset val="204"/>
    </font>
    <font>
      <sz val="8"/>
      <color indexed="8"/>
      <name val="Times New Roman"/>
      <family val="1"/>
      <charset val="204"/>
    </font>
    <font>
      <sz val="14"/>
      <color indexed="8"/>
      <name val="Times New Roman"/>
      <family val="1"/>
      <charset val="204"/>
    </font>
    <font>
      <sz val="8"/>
      <color indexed="8"/>
      <name val="Calibri"/>
      <family val="2"/>
      <charset val="204"/>
    </font>
    <font>
      <b/>
      <sz val="11"/>
      <color indexed="8"/>
      <name val="Times New Roman"/>
      <family val="1"/>
      <charset val="204"/>
    </font>
    <font>
      <b/>
      <sz val="9"/>
      <color indexed="8"/>
      <name val="Times New Roman"/>
      <family val="1"/>
      <charset val="204"/>
    </font>
    <font>
      <b/>
      <sz val="8"/>
      <color indexed="8"/>
      <name val="Times New Roman"/>
      <family val="1"/>
      <charset val="204"/>
    </font>
    <font>
      <b/>
      <i/>
      <u/>
      <sz val="13"/>
      <name val="Arial Cyr"/>
      <charset val="204"/>
    </font>
    <font>
      <b/>
      <sz val="10"/>
      <color indexed="10"/>
      <name val="Arial"/>
      <family val="2"/>
      <charset val="204"/>
    </font>
    <font>
      <sz val="20"/>
      <name val="Arial"/>
      <family val="2"/>
      <charset val="204"/>
    </font>
    <font>
      <b/>
      <sz val="10"/>
      <name val="Arial Cyr"/>
      <charset val="204"/>
    </font>
    <font>
      <sz val="8"/>
      <name val="Arial Cyr"/>
      <charset val="204"/>
    </font>
    <font>
      <sz val="22"/>
      <name val="Arial Cyr"/>
      <charset val="204"/>
    </font>
    <font>
      <b/>
      <sz val="10"/>
      <color indexed="10"/>
      <name val="Arial Cyr"/>
      <charset val="204"/>
    </font>
    <font>
      <b/>
      <sz val="20"/>
      <color rgb="FFFF0000"/>
      <name val="Arial Narrow"/>
      <family val="2"/>
      <charset val="204"/>
    </font>
    <font>
      <b/>
      <u/>
      <sz val="20"/>
      <name val="Arial Narrow"/>
      <family val="2"/>
      <charset val="204"/>
    </font>
    <font>
      <b/>
      <u/>
      <sz val="12"/>
      <name val="Arial Narrow"/>
      <family val="2"/>
      <charset val="204"/>
    </font>
    <font>
      <sz val="6"/>
      <color rgb="FFFF0000"/>
      <name val="Arial Narrow"/>
      <family val="2"/>
      <charset val="204"/>
    </font>
    <font>
      <b/>
      <sz val="11"/>
      <color rgb="FFFF0000"/>
      <name val="Arial Narrow"/>
      <family val="2"/>
      <charset val="204"/>
    </font>
    <font>
      <b/>
      <u/>
      <sz val="18"/>
      <name val="Arial Narrow"/>
      <family val="2"/>
      <charset val="204"/>
    </font>
    <font>
      <b/>
      <sz val="14"/>
      <name val="Arial Narrow"/>
      <family val="2"/>
      <charset val="204"/>
    </font>
    <font>
      <b/>
      <sz val="16"/>
      <color theme="1"/>
      <name val="Arial Narrow"/>
      <family val="2"/>
      <charset val="204"/>
    </font>
    <font>
      <sz val="14"/>
      <name val="Arial Narrow"/>
      <family val="2"/>
      <charset val="204"/>
    </font>
    <font>
      <sz val="6"/>
      <name val="Arial Narrow"/>
      <family val="2"/>
      <charset val="204"/>
    </font>
    <font>
      <sz val="8"/>
      <color rgb="FF0000FF"/>
      <name val="Arial Narrow"/>
      <family val="2"/>
      <charset val="204"/>
    </font>
    <font>
      <b/>
      <sz val="6"/>
      <name val="Arial Narrow"/>
      <family val="2"/>
      <charset val="204"/>
    </font>
    <font>
      <sz val="9"/>
      <color theme="1"/>
      <name val="Calibri"/>
      <family val="2"/>
      <charset val="204"/>
      <scheme val="minor"/>
    </font>
    <font>
      <sz val="36"/>
      <color theme="1"/>
      <name val="Calibri"/>
      <family val="2"/>
      <charset val="204"/>
      <scheme val="minor"/>
    </font>
    <font>
      <b/>
      <sz val="10"/>
      <color theme="1"/>
      <name val="Calibri"/>
      <family val="2"/>
      <charset val="204"/>
      <scheme val="minor"/>
    </font>
    <font>
      <sz val="8"/>
      <color theme="1"/>
      <name val="Calibri"/>
      <family val="2"/>
      <charset val="204"/>
      <scheme val="minor"/>
    </font>
    <font>
      <b/>
      <sz val="26"/>
      <color theme="1"/>
      <name val="Calibri"/>
      <family val="2"/>
      <charset val="204"/>
      <scheme val="minor"/>
    </font>
    <font>
      <b/>
      <sz val="9"/>
      <color theme="1"/>
      <name val="Calibri"/>
      <family val="2"/>
      <charset val="204"/>
      <scheme val="minor"/>
    </font>
    <font>
      <b/>
      <sz val="8"/>
      <color theme="1"/>
      <name val="Calibri"/>
      <family val="2"/>
      <charset val="204"/>
      <scheme val="minor"/>
    </font>
    <font>
      <b/>
      <sz val="18"/>
      <color theme="1"/>
      <name val="Calibri"/>
      <family val="2"/>
      <charset val="204"/>
      <scheme val="minor"/>
    </font>
    <font>
      <sz val="11"/>
      <color rgb="FF000000"/>
      <name val="Arial"/>
      <family val="2"/>
      <charset val="204"/>
    </font>
    <font>
      <b/>
      <sz val="10"/>
      <name val="Georgia"/>
      <family val="1"/>
    </font>
    <font>
      <sz val="11"/>
      <color rgb="FF000000"/>
      <name val="Arial"/>
      <family val="2"/>
    </font>
    <font>
      <b/>
      <sz val="11"/>
      <color rgb="FF000000"/>
      <name val="Arial"/>
      <family val="2"/>
      <charset val="204"/>
    </font>
    <font>
      <sz val="10"/>
      <name val="Arial"/>
    </font>
    <font>
      <sz val="10"/>
      <color rgb="FF000000"/>
      <name val="Times New Roman"/>
      <family val="1"/>
      <charset val="204"/>
    </font>
    <font>
      <sz val="16"/>
      <color rgb="FF000000"/>
      <name val="Times New Roman"/>
      <family val="1"/>
      <charset val="204"/>
    </font>
    <font>
      <sz val="11"/>
      <color theme="1"/>
      <name val="Arial"/>
      <family val="2"/>
      <charset val="204"/>
    </font>
    <font>
      <sz val="11"/>
      <name val="Trebuchet MS"/>
      <family val="2"/>
      <charset val="204"/>
    </font>
    <font>
      <sz val="12"/>
      <name val="Georgia"/>
      <family val="1"/>
    </font>
    <font>
      <sz val="10"/>
      <name val="Georgia"/>
      <family val="1"/>
    </font>
    <font>
      <sz val="12"/>
      <color theme="1"/>
      <name val="Arial"/>
      <family val="2"/>
      <charset val="204"/>
    </font>
    <font>
      <sz val="28"/>
      <color theme="1"/>
      <name val="Calibri"/>
      <family val="2"/>
      <charset val="204"/>
      <scheme val="minor"/>
    </font>
    <font>
      <b/>
      <u/>
      <sz val="11"/>
      <color theme="1"/>
      <name val="Palatino Linotype"/>
      <family val="1"/>
      <charset val="204"/>
    </font>
    <font>
      <b/>
      <u/>
      <sz val="11"/>
      <color rgb="FFFF0000"/>
      <name val="Palatino Linotype"/>
      <family val="1"/>
      <charset val="204"/>
    </font>
  </fonts>
  <fills count="31">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DE9D9"/>
        <bgColor indexed="64"/>
      </patternFill>
    </fill>
    <fill>
      <patternFill patternType="solid">
        <fgColor rgb="FFDBE5F1"/>
        <bgColor indexed="64"/>
      </patternFill>
    </fill>
    <fill>
      <patternFill patternType="solid">
        <fgColor rgb="FFFFF2CC"/>
        <bgColor indexed="64"/>
      </patternFill>
    </fill>
    <fill>
      <patternFill patternType="solid">
        <fgColor indexed="2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FF0000"/>
        <bgColor indexed="64"/>
      </patternFill>
    </fill>
    <fill>
      <patternFill patternType="solid">
        <fgColor rgb="FFFFFF99"/>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55"/>
      </patternFill>
    </fill>
    <fill>
      <patternFill patternType="solid">
        <fgColor theme="0"/>
        <bgColor indexed="23"/>
      </patternFill>
    </fill>
    <fill>
      <patternFill patternType="solid">
        <fgColor theme="0"/>
        <bgColor indexed="26"/>
      </patternFill>
    </fill>
    <fill>
      <patternFill patternType="solid">
        <fgColor theme="0" tint="-0.14999847407452621"/>
        <bgColor indexed="23"/>
      </patternFill>
    </fill>
    <fill>
      <patternFill patternType="solid">
        <fgColor theme="0" tint="-0.14999847407452621"/>
        <bgColor indexed="26"/>
      </patternFill>
    </fill>
    <fill>
      <patternFill patternType="solid">
        <fgColor rgb="FFFFC000"/>
        <bgColor indexed="64"/>
      </patternFill>
    </fill>
    <fill>
      <patternFill patternType="solid">
        <fgColor theme="0"/>
        <bgColor indexed="31"/>
      </patternFill>
    </fill>
    <fill>
      <patternFill patternType="solid">
        <fgColor rgb="FF92D050"/>
        <bgColor indexed="64"/>
      </patternFill>
    </fill>
    <fill>
      <patternFill patternType="solid">
        <fgColor theme="5" tint="0.39997558519241921"/>
        <bgColor indexed="64"/>
      </patternFill>
    </fill>
    <fill>
      <patternFill patternType="solid">
        <fgColor theme="9" tint="0.79998168889431442"/>
        <bgColor indexed="64"/>
      </patternFill>
    </fill>
  </fills>
  <borders count="2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medium">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style="thin">
        <color indexed="64"/>
      </right>
      <top style="medium">
        <color indexed="64"/>
      </top>
      <bottom style="hair">
        <color indexed="64"/>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style="hair">
        <color indexed="64"/>
      </top>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top style="hair">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top style="medium">
        <color indexed="64"/>
      </top>
      <bottom style="medium">
        <color indexed="64"/>
      </bottom>
      <diagonal/>
    </border>
    <border>
      <left style="thin">
        <color rgb="FF000000"/>
      </left>
      <right style="hair">
        <color indexed="64"/>
      </right>
      <top style="hair">
        <color indexed="64"/>
      </top>
      <bottom style="hair">
        <color rgb="FF000000"/>
      </bottom>
      <diagonal/>
    </border>
    <border>
      <left style="thin">
        <color indexed="64"/>
      </left>
      <right style="hair">
        <color indexed="64"/>
      </right>
      <top style="hair">
        <color indexed="64"/>
      </top>
      <bottom style="hair">
        <color rgb="FF000000"/>
      </bottom>
      <diagonal/>
    </border>
    <border>
      <left style="medium">
        <color indexed="64"/>
      </left>
      <right style="medium">
        <color indexed="64"/>
      </right>
      <top style="hair">
        <color indexed="64"/>
      </top>
      <bottom style="hair">
        <color rgb="FF000000"/>
      </bottom>
      <diagonal/>
    </border>
    <border>
      <left style="medium">
        <color indexed="64"/>
      </left>
      <right style="hair">
        <color indexed="64"/>
      </right>
      <top style="hair">
        <color indexed="64"/>
      </top>
      <bottom style="hair">
        <color rgb="FF000000"/>
      </bottom>
      <diagonal/>
    </border>
    <border>
      <left style="hair">
        <color indexed="64"/>
      </left>
      <right style="hair">
        <color indexed="64"/>
      </right>
      <top style="hair">
        <color indexed="64"/>
      </top>
      <bottom style="hair">
        <color rgb="FF000000"/>
      </bottom>
      <diagonal/>
    </border>
    <border>
      <left style="hair">
        <color indexed="64"/>
      </left>
      <right/>
      <top style="hair">
        <color indexed="64"/>
      </top>
      <bottom style="hair">
        <color rgb="FF000000"/>
      </bottom>
      <diagonal/>
    </border>
    <border>
      <left style="thin">
        <color indexed="64"/>
      </left>
      <right style="medium">
        <color indexed="64"/>
      </right>
      <top style="hair">
        <color indexed="64"/>
      </top>
      <bottom style="hair">
        <color rgb="FF000000"/>
      </bottom>
      <diagonal/>
    </border>
    <border>
      <left style="medium">
        <color indexed="64"/>
      </left>
      <right style="thin">
        <color rgb="FF000000"/>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thin">
        <color rgb="FF000000"/>
      </right>
      <top style="medium">
        <color indexed="64"/>
      </top>
      <bottom style="hair">
        <color indexed="64"/>
      </bottom>
      <diagonal/>
    </border>
    <border>
      <left style="medium">
        <color indexed="64"/>
      </left>
      <right style="thin">
        <color rgb="FF000000"/>
      </right>
      <top style="hair">
        <color indexed="64"/>
      </top>
      <bottom style="hair">
        <color indexed="64"/>
      </bottom>
      <diagonal/>
    </border>
    <border>
      <left style="medium">
        <color indexed="64"/>
      </left>
      <right style="thin">
        <color rgb="FF000000"/>
      </right>
      <top style="hair">
        <color indexed="64"/>
      </top>
      <bottom style="medium">
        <color indexed="64"/>
      </bottom>
      <diagonal/>
    </border>
    <border>
      <left/>
      <right style="hair">
        <color indexed="64"/>
      </right>
      <top/>
      <bottom style="hair">
        <color indexed="64"/>
      </bottom>
      <diagonal/>
    </border>
    <border>
      <left/>
      <right style="hair">
        <color indexed="64"/>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rgb="FF000000"/>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59"/>
      </left>
      <right style="thin">
        <color indexed="59"/>
      </right>
      <top style="thin">
        <color indexed="59"/>
      </top>
      <bottom/>
      <diagonal/>
    </border>
    <border>
      <left style="thin">
        <color indexed="59"/>
      </left>
      <right style="thin">
        <color indexed="59"/>
      </right>
      <top style="thin">
        <color indexed="59"/>
      </top>
      <bottom style="thin">
        <color indexed="59"/>
      </bottom>
      <diagonal/>
    </border>
    <border>
      <left style="thin">
        <color indexed="59"/>
      </left>
      <right style="thin">
        <color indexed="59"/>
      </right>
      <top style="thin">
        <color indexed="59"/>
      </top>
      <bottom style="double">
        <color indexed="59"/>
      </bottom>
      <diagonal/>
    </border>
    <border>
      <left style="thin">
        <color indexed="59"/>
      </left>
      <right/>
      <top style="thin">
        <color indexed="59"/>
      </top>
      <bottom style="thin">
        <color indexed="59"/>
      </bottom>
      <diagonal/>
    </border>
    <border>
      <left style="thin">
        <color indexed="59"/>
      </left>
      <right style="thin">
        <color indexed="59"/>
      </right>
      <top style="medium">
        <color indexed="64"/>
      </top>
      <bottom style="double">
        <color indexed="59"/>
      </bottom>
      <diagonal/>
    </border>
    <border>
      <left style="thin">
        <color indexed="59"/>
      </left>
      <right style="thin">
        <color indexed="59"/>
      </right>
      <top style="medium">
        <color indexed="64"/>
      </top>
      <bottom style="thin">
        <color indexed="59"/>
      </bottom>
      <diagonal/>
    </border>
    <border>
      <left style="thin">
        <color indexed="59"/>
      </left>
      <right style="medium">
        <color indexed="64"/>
      </right>
      <top style="medium">
        <color indexed="64"/>
      </top>
      <bottom style="double">
        <color indexed="59"/>
      </bottom>
      <diagonal/>
    </border>
    <border>
      <left/>
      <right style="thin">
        <color indexed="59"/>
      </right>
      <top/>
      <bottom style="thin">
        <color indexed="59"/>
      </bottom>
      <diagonal/>
    </border>
    <border>
      <left style="thin">
        <color indexed="59"/>
      </left>
      <right style="medium">
        <color indexed="64"/>
      </right>
      <top style="thin">
        <color indexed="59"/>
      </top>
      <bottom style="double">
        <color indexed="59"/>
      </bottom>
      <diagonal/>
    </border>
    <border>
      <left style="thin">
        <color indexed="59"/>
      </left>
      <right/>
      <top style="thin">
        <color indexed="59"/>
      </top>
      <bottom/>
      <diagonal/>
    </border>
    <border>
      <left style="thin">
        <color indexed="59"/>
      </left>
      <right style="medium">
        <color indexed="64"/>
      </right>
      <top style="thin">
        <color indexed="59"/>
      </top>
      <bottom/>
      <diagonal/>
    </border>
    <border>
      <left style="thin">
        <color indexed="64"/>
      </left>
      <right/>
      <top style="thin">
        <color indexed="64"/>
      </top>
      <bottom style="medium">
        <color indexed="64"/>
      </bottom>
      <diagonal/>
    </border>
    <border>
      <left style="medium">
        <color indexed="64"/>
      </left>
      <right style="thin">
        <color indexed="59"/>
      </right>
      <top style="medium">
        <color indexed="64"/>
      </top>
      <bottom/>
      <diagonal/>
    </border>
    <border>
      <left style="thin">
        <color indexed="59"/>
      </left>
      <right style="thin">
        <color indexed="59"/>
      </right>
      <top style="medium">
        <color indexed="64"/>
      </top>
      <bottom/>
      <diagonal/>
    </border>
    <border>
      <left style="thin">
        <color indexed="59"/>
      </left>
      <right/>
      <top style="medium">
        <color indexed="64"/>
      </top>
      <bottom style="thin">
        <color indexed="59"/>
      </bottom>
      <diagonal/>
    </border>
    <border>
      <left style="medium">
        <color indexed="64"/>
      </left>
      <right style="thin">
        <color indexed="59"/>
      </right>
      <top/>
      <bottom/>
      <diagonal/>
    </border>
    <border>
      <left style="thin">
        <color indexed="59"/>
      </left>
      <right style="thin">
        <color indexed="59"/>
      </right>
      <top/>
      <bottom/>
      <diagonal/>
    </border>
    <border>
      <left style="thin">
        <color indexed="59"/>
      </left>
      <right/>
      <top/>
      <bottom style="thin">
        <color indexed="59"/>
      </bottom>
      <diagonal/>
    </border>
    <border>
      <left style="thin">
        <color indexed="59"/>
      </left>
      <right style="thin">
        <color indexed="59"/>
      </right>
      <top/>
      <bottom style="thin">
        <color indexed="59"/>
      </bottom>
      <diagonal/>
    </border>
    <border>
      <left style="medium">
        <color indexed="64"/>
      </left>
      <right style="thin">
        <color indexed="59"/>
      </right>
      <top/>
      <bottom style="medium">
        <color indexed="64"/>
      </bottom>
      <diagonal/>
    </border>
    <border>
      <left style="thin">
        <color indexed="59"/>
      </left>
      <right style="thin">
        <color indexed="59"/>
      </right>
      <top/>
      <bottom style="medium">
        <color indexed="64"/>
      </bottom>
      <diagonal/>
    </border>
    <border>
      <left style="thin">
        <color indexed="59"/>
      </left>
      <right/>
      <top style="thin">
        <color indexed="59"/>
      </top>
      <bottom style="medium">
        <color indexed="64"/>
      </bottom>
      <diagonal/>
    </border>
    <border>
      <left style="thin">
        <color indexed="59"/>
      </left>
      <right style="thin">
        <color indexed="59"/>
      </right>
      <top style="thin">
        <color indexed="59"/>
      </top>
      <bottom style="medium">
        <color indexed="64"/>
      </bottom>
      <diagonal/>
    </border>
    <border>
      <left style="thin">
        <color indexed="59"/>
      </left>
      <right style="medium">
        <color indexed="64"/>
      </right>
      <top style="thin">
        <color indexed="59"/>
      </top>
      <bottom style="medium">
        <color indexed="64"/>
      </bottom>
      <diagonal/>
    </border>
    <border>
      <left style="thin">
        <color indexed="59"/>
      </left>
      <right style="medium">
        <color indexed="64"/>
      </right>
      <top style="thin">
        <color indexed="59"/>
      </top>
      <bottom style="thin">
        <color indexed="59"/>
      </bottom>
      <diagonal/>
    </border>
    <border>
      <left style="thin">
        <color indexed="59"/>
      </left>
      <right style="thin">
        <color indexed="59"/>
      </right>
      <top/>
      <bottom style="double">
        <color indexed="59"/>
      </bottom>
      <diagonal/>
    </border>
    <border>
      <left style="thin">
        <color indexed="59"/>
      </left>
      <right/>
      <top/>
      <bottom style="double">
        <color indexed="59"/>
      </bottom>
      <diagonal/>
    </border>
    <border>
      <left style="thin">
        <color indexed="59"/>
      </left>
      <right style="medium">
        <color indexed="64"/>
      </right>
      <top/>
      <bottom style="medium">
        <color indexed="64"/>
      </bottom>
      <diagonal/>
    </border>
    <border>
      <left/>
      <right/>
      <top/>
      <bottom style="thin">
        <color auto="1"/>
      </bottom>
      <diagonal/>
    </border>
    <border>
      <left style="thin">
        <color auto="1"/>
      </left>
      <right style="thin">
        <color auto="1"/>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s>
  <cellStyleXfs count="12">
    <xf numFmtId="0" fontId="0" fillId="0" borderId="0"/>
    <xf numFmtId="0" fontId="4" fillId="0" borderId="0" applyNumberFormat="0" applyFill="0" applyBorder="0" applyAlignment="0" applyProtection="0">
      <alignment vertical="top"/>
      <protection locked="0"/>
    </xf>
    <xf numFmtId="0" fontId="27" fillId="0" borderId="0"/>
    <xf numFmtId="43" fontId="30" fillId="0" borderId="0" applyFont="0" applyFill="0" applyBorder="0" applyAlignment="0" applyProtection="0"/>
    <xf numFmtId="0" fontId="30" fillId="0" borderId="0"/>
    <xf numFmtId="0" fontId="84" fillId="0" borderId="0"/>
    <xf numFmtId="164" fontId="84" fillId="0" borderId="0" applyFont="0" applyFill="0" applyBorder="0" applyAlignment="0" applyProtection="0"/>
    <xf numFmtId="0" fontId="148" fillId="0" borderId="0"/>
    <xf numFmtId="0" fontId="30" fillId="0" borderId="0"/>
    <xf numFmtId="0" fontId="30" fillId="0" borderId="0"/>
    <xf numFmtId="0" fontId="148" fillId="0" borderId="0"/>
    <xf numFmtId="9" fontId="30" fillId="0" borderId="0" applyFont="0" applyFill="0" applyBorder="0" applyAlignment="0" applyProtection="0"/>
  </cellStyleXfs>
  <cellXfs count="1772">
    <xf numFmtId="0" fontId="0" fillId="0" borderId="0" xfId="0"/>
    <xf numFmtId="0" fontId="3" fillId="0" borderId="0" xfId="0" applyFont="1"/>
    <xf numFmtId="0" fontId="3" fillId="0" borderId="0" xfId="0" applyFont="1" applyAlignment="1">
      <alignment horizontal="right"/>
    </xf>
    <xf numFmtId="4" fontId="6" fillId="0" borderId="15" xfId="0" applyNumberFormat="1" applyFont="1" applyBorder="1" applyAlignment="1">
      <alignment horizontal="right" vertical="top" wrapText="1"/>
    </xf>
    <xf numFmtId="0" fontId="3" fillId="0" borderId="19" xfId="0" applyFont="1" applyBorder="1" applyAlignment="1">
      <alignment horizontal="right" vertical="top" wrapText="1"/>
    </xf>
    <xf numFmtId="0" fontId="3" fillId="0" borderId="20" xfId="0" applyFont="1" applyBorder="1" applyAlignment="1">
      <alignment horizontal="right" vertical="top" wrapText="1"/>
    </xf>
    <xf numFmtId="0" fontId="9" fillId="0" borderId="20" xfId="0" applyFont="1" applyBorder="1" applyAlignment="1">
      <alignment horizontal="right" vertical="top" wrapText="1"/>
    </xf>
    <xf numFmtId="0" fontId="3" fillId="2" borderId="0" xfId="0" applyFont="1" applyFill="1"/>
    <xf numFmtId="0" fontId="2" fillId="0" borderId="4" xfId="0" applyFont="1" applyBorder="1" applyAlignment="1">
      <alignment horizontal="center" vertical="top" wrapText="1"/>
    </xf>
    <xf numFmtId="4" fontId="3" fillId="0" borderId="15" xfId="0" applyNumberFormat="1" applyFont="1" applyBorder="1" applyAlignment="1">
      <alignment horizontal="right" vertical="top" wrapText="1"/>
    </xf>
    <xf numFmtId="0" fontId="10" fillId="0" borderId="22" xfId="0" applyFont="1" applyBorder="1" applyAlignment="1">
      <alignment horizontal="left" vertical="top" wrapText="1" indent="1"/>
    </xf>
    <xf numFmtId="0" fontId="9" fillId="0" borderId="17" xfId="0" applyFont="1" applyBorder="1" applyAlignment="1">
      <alignment horizontal="left" vertical="top" wrapText="1" indent="1"/>
    </xf>
    <xf numFmtId="4" fontId="3" fillId="0" borderId="14" xfId="0" applyNumberFormat="1" applyFont="1" applyBorder="1" applyAlignment="1">
      <alignment horizontal="right" vertical="top"/>
    </xf>
    <xf numFmtId="0" fontId="7" fillId="0" borderId="28" xfId="0" applyFont="1" applyBorder="1" applyAlignment="1">
      <alignment horizontal="left" vertical="top" wrapText="1" indent="1"/>
    </xf>
    <xf numFmtId="0" fontId="3" fillId="0" borderId="31" xfId="0" applyFont="1" applyBorder="1" applyAlignment="1">
      <alignment horizontal="right" vertical="top" wrapText="1"/>
    </xf>
    <xf numFmtId="4" fontId="3" fillId="0" borderId="33" xfId="0" applyNumberFormat="1" applyFont="1" applyBorder="1" applyAlignment="1">
      <alignment horizontal="right" vertical="top"/>
    </xf>
    <xf numFmtId="4" fontId="3" fillId="0" borderId="34" xfId="0" applyNumberFormat="1" applyFont="1" applyBorder="1" applyAlignment="1">
      <alignment horizontal="right" vertical="top" wrapText="1"/>
    </xf>
    <xf numFmtId="0" fontId="3" fillId="0" borderId="36" xfId="0" applyFont="1" applyBorder="1" applyAlignment="1">
      <alignment horizontal="right" vertical="top" wrapText="1"/>
    </xf>
    <xf numFmtId="0" fontId="3" fillId="0" borderId="37" xfId="0" applyFont="1" applyBorder="1" applyAlignment="1">
      <alignment horizontal="right" vertical="top" wrapText="1"/>
    </xf>
    <xf numFmtId="4" fontId="3" fillId="0" borderId="38" xfId="0" applyNumberFormat="1" applyFont="1" applyBorder="1" applyAlignment="1">
      <alignment horizontal="right" vertical="top"/>
    </xf>
    <xf numFmtId="4" fontId="3" fillId="0" borderId="39" xfId="0" applyNumberFormat="1" applyFont="1" applyBorder="1" applyAlignment="1">
      <alignment horizontal="right" vertical="top"/>
    </xf>
    <xf numFmtId="0" fontId="3" fillId="0" borderId="48" xfId="0" applyFont="1" applyBorder="1" applyAlignment="1">
      <alignment horizontal="right" vertical="top" wrapText="1"/>
    </xf>
    <xf numFmtId="0" fontId="2" fillId="0" borderId="5" xfId="0" applyFont="1" applyBorder="1" applyAlignment="1">
      <alignment horizontal="center" vertical="top"/>
    </xf>
    <xf numFmtId="0" fontId="2" fillId="0" borderId="6" xfId="0" applyFont="1" applyBorder="1" applyAlignment="1">
      <alignment horizontal="center" vertical="top"/>
    </xf>
    <xf numFmtId="0" fontId="2" fillId="0" borderId="7" xfId="0" applyFont="1" applyBorder="1" applyAlignment="1">
      <alignment horizontal="center" vertical="top" wrapText="1"/>
    </xf>
    <xf numFmtId="49" fontId="3" fillId="0" borderId="16" xfId="0" applyNumberFormat="1" applyFont="1" applyBorder="1" applyAlignment="1">
      <alignment horizontal="right" vertical="top" wrapText="1"/>
    </xf>
    <xf numFmtId="0" fontId="3" fillId="0" borderId="17" xfId="0" applyNumberFormat="1" applyFont="1" applyBorder="1" applyAlignment="1">
      <alignment horizontal="left" vertical="top" wrapText="1" indent="1"/>
    </xf>
    <xf numFmtId="49" fontId="3" fillId="0" borderId="0" xfId="0" applyNumberFormat="1" applyFont="1" applyAlignment="1">
      <alignment horizontal="right"/>
    </xf>
    <xf numFmtId="49" fontId="3" fillId="0" borderId="17" xfId="0" applyNumberFormat="1" applyFont="1" applyBorder="1" applyAlignment="1">
      <alignment horizontal="right" vertical="top" wrapText="1"/>
    </xf>
    <xf numFmtId="49" fontId="9" fillId="0" borderId="17" xfId="0" applyNumberFormat="1" applyFont="1" applyBorder="1" applyAlignment="1">
      <alignment horizontal="right" vertical="top" wrapText="1"/>
    </xf>
    <xf numFmtId="49" fontId="3" fillId="0" borderId="29" xfId="0" applyNumberFormat="1" applyFont="1" applyBorder="1" applyAlignment="1">
      <alignment horizontal="right" vertical="top" wrapText="1"/>
    </xf>
    <xf numFmtId="0" fontId="9" fillId="0" borderId="17" xfId="0" applyNumberFormat="1" applyFont="1" applyBorder="1" applyAlignment="1">
      <alignment horizontal="left" vertical="top" wrapText="1" indent="1"/>
    </xf>
    <xf numFmtId="49" fontId="10" fillId="0" borderId="17" xfId="0" applyNumberFormat="1" applyFont="1" applyBorder="1" applyAlignment="1">
      <alignment horizontal="right" vertical="top" wrapText="1"/>
    </xf>
    <xf numFmtId="49" fontId="6" fillId="0" borderId="14" xfId="0" applyNumberFormat="1" applyFont="1" applyBorder="1" applyAlignment="1">
      <alignment horizontal="right" vertical="top" wrapText="1"/>
    </xf>
    <xf numFmtId="49" fontId="6" fillId="0" borderId="13" xfId="0" applyNumberFormat="1" applyFont="1" applyBorder="1" applyAlignment="1">
      <alignment horizontal="right" vertical="top" wrapText="1"/>
    </xf>
    <xf numFmtId="49" fontId="10" fillId="0" borderId="13" xfId="0" applyNumberFormat="1" applyFont="1" applyBorder="1" applyAlignment="1">
      <alignment horizontal="right" vertical="top" wrapText="1"/>
    </xf>
    <xf numFmtId="49" fontId="6" fillId="0" borderId="32" xfId="0" applyNumberFormat="1" applyFont="1" applyBorder="1" applyAlignment="1">
      <alignment horizontal="right" vertical="top" wrapText="1"/>
    </xf>
    <xf numFmtId="0" fontId="6" fillId="0" borderId="36" xfId="0" applyFont="1" applyBorder="1" applyAlignment="1">
      <alignment horizontal="right" vertical="top" wrapText="1"/>
    </xf>
    <xf numFmtId="49" fontId="6" fillId="0" borderId="17" xfId="0" applyNumberFormat="1" applyFont="1" applyBorder="1" applyAlignment="1">
      <alignment horizontal="right" vertical="top" wrapText="1"/>
    </xf>
    <xf numFmtId="0" fontId="3" fillId="2" borderId="0" xfId="0" applyFont="1" applyFill="1" applyAlignment="1">
      <alignment horizontal="center" vertical="center"/>
    </xf>
    <xf numFmtId="0" fontId="3" fillId="0" borderId="0" xfId="0" applyFont="1" applyAlignment="1">
      <alignment horizontal="center" vertical="top"/>
    </xf>
    <xf numFmtId="0" fontId="3" fillId="0" borderId="0" xfId="0" applyFont="1" applyAlignment="1">
      <alignment horizontal="center" vertical="center"/>
    </xf>
    <xf numFmtId="0" fontId="3" fillId="2" borderId="0" xfId="0" applyFont="1" applyFill="1" applyAlignment="1">
      <alignment horizontal="center"/>
    </xf>
    <xf numFmtId="0" fontId="3" fillId="0" borderId="0" xfId="0" applyFont="1" applyAlignment="1">
      <alignment horizontal="center"/>
    </xf>
    <xf numFmtId="0" fontId="10" fillId="0" borderId="36" xfId="0" applyFont="1" applyBorder="1" applyAlignment="1">
      <alignment horizontal="right" vertical="top" wrapText="1"/>
    </xf>
    <xf numFmtId="49" fontId="3" fillId="0" borderId="13" xfId="0" applyNumberFormat="1" applyFont="1" applyBorder="1" applyAlignment="1">
      <alignment horizontal="right" vertical="top" wrapText="1"/>
    </xf>
    <xf numFmtId="4" fontId="14" fillId="0" borderId="0" xfId="0" applyNumberFormat="1" applyFont="1" applyAlignment="1">
      <alignment horizontal="right" vertical="top"/>
    </xf>
    <xf numFmtId="0" fontId="3" fillId="0" borderId="0" xfId="0" applyFont="1" applyAlignment="1">
      <alignment horizontal="left" indent="1"/>
    </xf>
    <xf numFmtId="0" fontId="12" fillId="0" borderId="51" xfId="0" applyFont="1" applyFill="1" applyBorder="1" applyAlignment="1">
      <alignment horizontal="left" vertical="top" wrapText="1" indent="1"/>
    </xf>
    <xf numFmtId="0" fontId="3" fillId="0" borderId="0" xfId="0" applyFont="1" applyAlignment="1">
      <alignment horizontal="left" vertical="top" indent="1"/>
    </xf>
    <xf numFmtId="0" fontId="12" fillId="0" borderId="55" xfId="0" applyFont="1" applyFill="1" applyBorder="1" applyAlignment="1">
      <alignment horizontal="left" vertical="top" wrapText="1" indent="1"/>
    </xf>
    <xf numFmtId="0" fontId="3" fillId="0" borderId="55" xfId="0" applyFont="1" applyFill="1" applyBorder="1" applyAlignment="1">
      <alignment horizontal="left" vertical="top" wrapText="1" indent="1"/>
    </xf>
    <xf numFmtId="0" fontId="9" fillId="0" borderId="29" xfId="0" applyFont="1" applyBorder="1" applyAlignment="1">
      <alignment horizontal="left" vertical="top" wrapText="1" indent="1"/>
    </xf>
    <xf numFmtId="49" fontId="6" fillId="0" borderId="29" xfId="0" applyNumberFormat="1" applyFont="1" applyBorder="1" applyAlignment="1">
      <alignment horizontal="right" vertical="top" wrapText="1"/>
    </xf>
    <xf numFmtId="0" fontId="3" fillId="0" borderId="56" xfId="0" applyFont="1" applyFill="1" applyBorder="1" applyAlignment="1">
      <alignment horizontal="left" vertical="top" wrapText="1" indent="1"/>
    </xf>
    <xf numFmtId="0" fontId="3" fillId="0" borderId="0" xfId="0" applyFont="1" applyAlignment="1">
      <alignment horizontal="left" wrapText="1" indent="1"/>
    </xf>
    <xf numFmtId="0" fontId="12" fillId="0" borderId="57" xfId="0" applyFont="1" applyFill="1" applyBorder="1" applyAlignment="1">
      <alignment horizontal="left" vertical="top" wrapText="1" indent="1"/>
    </xf>
    <xf numFmtId="0" fontId="3" fillId="0" borderId="58" xfId="0" applyFont="1" applyBorder="1" applyAlignment="1">
      <alignment horizontal="right" vertical="top" wrapText="1"/>
    </xf>
    <xf numFmtId="49" fontId="3" fillId="0" borderId="59" xfId="0" applyNumberFormat="1" applyFont="1" applyBorder="1" applyAlignment="1">
      <alignment horizontal="right" vertical="top" wrapText="1"/>
    </xf>
    <xf numFmtId="0" fontId="3" fillId="0" borderId="61" xfId="0" applyFont="1" applyBorder="1" applyAlignment="1">
      <alignment horizontal="right" vertical="top" wrapText="1"/>
    </xf>
    <xf numFmtId="4" fontId="3" fillId="0" borderId="62" xfId="0" applyNumberFormat="1" applyFont="1" applyBorder="1" applyAlignment="1">
      <alignment horizontal="right" vertical="top"/>
    </xf>
    <xf numFmtId="4" fontId="3" fillId="0" borderId="60" xfId="0" applyNumberFormat="1" applyFont="1" applyBorder="1" applyAlignment="1">
      <alignment horizontal="right" vertical="top"/>
    </xf>
    <xf numFmtId="49" fontId="3" fillId="0" borderId="60" xfId="0" applyNumberFormat="1" applyFont="1" applyBorder="1" applyAlignment="1">
      <alignment horizontal="right" vertical="top" wrapText="1"/>
    </xf>
    <xf numFmtId="49" fontId="3" fillId="0" borderId="32" xfId="0" applyNumberFormat="1" applyFont="1" applyBorder="1" applyAlignment="1">
      <alignment horizontal="right" vertical="top" wrapText="1"/>
    </xf>
    <xf numFmtId="0" fontId="3" fillId="0" borderId="0" xfId="0" applyFont="1" applyAlignment="1">
      <alignment horizontal="left" vertical="center"/>
    </xf>
    <xf numFmtId="0" fontId="3" fillId="2" borderId="0" xfId="0" applyFont="1" applyFill="1" applyAlignment="1">
      <alignment horizontal="right"/>
    </xf>
    <xf numFmtId="0" fontId="3" fillId="2" borderId="0" xfId="0" applyFont="1" applyFill="1" applyAlignment="1">
      <alignment horizontal="right" vertical="center"/>
    </xf>
    <xf numFmtId="4" fontId="3" fillId="0" borderId="38" xfId="0" applyNumberFormat="1" applyFont="1" applyBorder="1" applyAlignment="1">
      <alignment horizontal="right" vertical="center"/>
    </xf>
    <xf numFmtId="4" fontId="3" fillId="0" borderId="14" xfId="0" applyNumberFormat="1" applyFont="1" applyBorder="1" applyAlignment="1">
      <alignment horizontal="right" vertical="center"/>
    </xf>
    <xf numFmtId="4" fontId="14" fillId="0" borderId="0" xfId="0" applyNumberFormat="1" applyFont="1" applyAlignment="1">
      <alignment horizontal="right" vertical="center"/>
    </xf>
    <xf numFmtId="0" fontId="3" fillId="2" borderId="0" xfId="0" applyFont="1" applyFill="1" applyAlignment="1">
      <alignment horizontal="center" vertical="top"/>
    </xf>
    <xf numFmtId="49" fontId="3" fillId="0" borderId="16" xfId="0" applyNumberFormat="1" applyFont="1" applyBorder="1" applyAlignment="1">
      <alignment horizontal="center" vertical="center" wrapText="1"/>
    </xf>
    <xf numFmtId="49" fontId="9" fillId="0" borderId="17" xfId="0" applyNumberFormat="1" applyFont="1" applyBorder="1" applyAlignment="1">
      <alignment horizontal="center" vertical="center" wrapText="1"/>
    </xf>
    <xf numFmtId="49" fontId="3" fillId="0" borderId="17" xfId="0" applyNumberFormat="1" applyFont="1" applyBorder="1" applyAlignment="1">
      <alignment horizontal="center" vertical="center" wrapText="1"/>
    </xf>
    <xf numFmtId="49" fontId="3" fillId="0" borderId="0" xfId="0" applyNumberFormat="1" applyFont="1" applyAlignment="1">
      <alignment horizontal="center" vertical="center"/>
    </xf>
    <xf numFmtId="0" fontId="2" fillId="0" borderId="49" xfId="0" applyFont="1" applyBorder="1" applyAlignment="1">
      <alignment horizontal="center" vertical="top"/>
    </xf>
    <xf numFmtId="4" fontId="3" fillId="0" borderId="0" xfId="0" applyNumberFormat="1" applyFont="1" applyAlignment="1">
      <alignment horizontal="right"/>
    </xf>
    <xf numFmtId="4" fontId="3" fillId="0" borderId="0" xfId="0" applyNumberFormat="1" applyFont="1" applyAlignment="1">
      <alignment horizontal="right" vertical="center"/>
    </xf>
    <xf numFmtId="4" fontId="16" fillId="0" borderId="0" xfId="0" applyNumberFormat="1" applyFont="1" applyAlignment="1">
      <alignment horizontal="right" vertical="top"/>
    </xf>
    <xf numFmtId="4" fontId="16" fillId="0" borderId="0" xfId="0" applyNumberFormat="1" applyFont="1" applyAlignment="1">
      <alignment horizontal="right" vertical="center"/>
    </xf>
    <xf numFmtId="4" fontId="3" fillId="0" borderId="48" xfId="0" applyNumberFormat="1" applyFont="1" applyBorder="1" applyAlignment="1">
      <alignment horizontal="right" vertical="center" wrapText="1"/>
    </xf>
    <xf numFmtId="0" fontId="3" fillId="0" borderId="1" xfId="0" applyFont="1" applyBorder="1" applyAlignment="1">
      <alignment horizontal="right"/>
    </xf>
    <xf numFmtId="0" fontId="3" fillId="0" borderId="0" xfId="0" applyFont="1" applyBorder="1" applyAlignment="1">
      <alignment horizontal="left" vertical="top" indent="1"/>
    </xf>
    <xf numFmtId="49" fontId="3" fillId="0" borderId="0" xfId="0" applyNumberFormat="1" applyFont="1" applyBorder="1" applyAlignment="1">
      <alignment horizontal="center" vertical="center"/>
    </xf>
    <xf numFmtId="0" fontId="3" fillId="0" borderId="0" xfId="0" applyFont="1" applyBorder="1" applyAlignment="1">
      <alignment horizontal="right"/>
    </xf>
    <xf numFmtId="0" fontId="3" fillId="2" borderId="0" xfId="0" applyFont="1" applyFill="1" applyBorder="1" applyAlignment="1">
      <alignment horizontal="right"/>
    </xf>
    <xf numFmtId="4" fontId="14" fillId="0" borderId="0" xfId="0" applyNumberFormat="1" applyFont="1" applyBorder="1" applyAlignment="1">
      <alignment horizontal="right" vertical="top"/>
    </xf>
    <xf numFmtId="4" fontId="16" fillId="0" borderId="0" xfId="0" applyNumberFormat="1" applyFont="1" applyBorder="1" applyAlignment="1">
      <alignment horizontal="right" vertical="top"/>
    </xf>
    <xf numFmtId="4" fontId="3" fillId="0" borderId="0" xfId="0" applyNumberFormat="1" applyFont="1" applyBorder="1" applyAlignment="1">
      <alignment horizontal="right"/>
    </xf>
    <xf numFmtId="0" fontId="3" fillId="0" borderId="0" xfId="0" applyFont="1" applyBorder="1"/>
    <xf numFmtId="4" fontId="6" fillId="0" borderId="34" xfId="0" applyNumberFormat="1" applyFont="1" applyBorder="1" applyAlignment="1">
      <alignment horizontal="right" vertical="top" wrapText="1"/>
    </xf>
    <xf numFmtId="0" fontId="2" fillId="0" borderId="71" xfId="0" applyFont="1" applyBorder="1" applyAlignment="1">
      <alignment horizontal="center" vertical="top"/>
    </xf>
    <xf numFmtId="0" fontId="2" fillId="0" borderId="12" xfId="0" applyFont="1" applyBorder="1" applyAlignment="1">
      <alignment horizontal="center" vertical="top"/>
    </xf>
    <xf numFmtId="0" fontId="2" fillId="0" borderId="72" xfId="0" applyFont="1" applyBorder="1" applyAlignment="1">
      <alignment horizontal="center" vertical="top" wrapText="1"/>
    </xf>
    <xf numFmtId="4" fontId="3" fillId="0" borderId="13" xfId="0" applyNumberFormat="1" applyFont="1" applyBorder="1" applyAlignment="1">
      <alignment horizontal="right" vertical="top"/>
    </xf>
    <xf numFmtId="4" fontId="3" fillId="0" borderId="73" xfId="0" applyNumberFormat="1" applyFont="1" applyBorder="1" applyAlignment="1">
      <alignment horizontal="right" vertical="top"/>
    </xf>
    <xf numFmtId="4" fontId="3" fillId="0" borderId="74" xfId="0" applyNumberFormat="1" applyFont="1" applyBorder="1" applyAlignment="1">
      <alignment horizontal="right" vertical="top"/>
    </xf>
    <xf numFmtId="4" fontId="3" fillId="0" borderId="32" xfId="0" applyNumberFormat="1" applyFont="1" applyBorder="1" applyAlignment="1">
      <alignment horizontal="right" vertical="top"/>
    </xf>
    <xf numFmtId="4" fontId="3" fillId="0" borderId="61" xfId="0" applyNumberFormat="1" applyFont="1" applyBorder="1" applyAlignment="1">
      <alignment horizontal="right" vertical="top" wrapText="1"/>
    </xf>
    <xf numFmtId="4" fontId="6" fillId="0" borderId="75" xfId="0" applyNumberFormat="1" applyFont="1" applyBorder="1" applyAlignment="1">
      <alignment horizontal="right" vertical="top" wrapText="1"/>
    </xf>
    <xf numFmtId="4" fontId="6" fillId="0" borderId="76" xfId="0" applyNumberFormat="1" applyFont="1" applyBorder="1" applyAlignment="1">
      <alignment horizontal="right" vertical="top" wrapText="1"/>
    </xf>
    <xf numFmtId="4" fontId="6" fillId="0" borderId="77" xfId="0" applyNumberFormat="1" applyFont="1" applyBorder="1" applyAlignment="1">
      <alignment horizontal="right" vertical="top" wrapText="1"/>
    </xf>
    <xf numFmtId="4" fontId="3" fillId="0" borderId="39" xfId="0" applyNumberFormat="1" applyFont="1" applyBorder="1" applyAlignment="1">
      <alignment horizontal="right" vertical="center"/>
    </xf>
    <xf numFmtId="4" fontId="3" fillId="0" borderId="33" xfId="0" applyNumberFormat="1" applyFont="1" applyBorder="1" applyAlignment="1">
      <alignment horizontal="right" vertical="center"/>
    </xf>
    <xf numFmtId="4" fontId="3" fillId="0" borderId="78" xfId="0" applyNumberFormat="1" applyFont="1" applyBorder="1" applyAlignment="1">
      <alignment horizontal="right" vertical="center" wrapText="1"/>
    </xf>
    <xf numFmtId="0" fontId="2" fillId="0" borderId="70" xfId="0" applyFont="1" applyBorder="1" applyAlignment="1">
      <alignment vertical="top"/>
    </xf>
    <xf numFmtId="0" fontId="2" fillId="0" borderId="70" xfId="0" applyFont="1" applyBorder="1" applyAlignment="1">
      <alignment horizontal="center" vertical="top" wrapText="1"/>
    </xf>
    <xf numFmtId="4" fontId="3" fillId="0" borderId="81" xfId="0" applyNumberFormat="1" applyFont="1" applyBorder="1" applyAlignment="1">
      <alignment horizontal="right" vertical="center" wrapText="1"/>
    </xf>
    <xf numFmtId="4" fontId="3" fillId="0" borderId="82" xfId="0" applyNumberFormat="1" applyFont="1" applyBorder="1" applyAlignment="1">
      <alignment horizontal="right" vertical="center" wrapText="1"/>
    </xf>
    <xf numFmtId="4" fontId="3" fillId="0" borderId="83" xfId="0" applyNumberFormat="1" applyFont="1" applyBorder="1" applyAlignment="1">
      <alignment horizontal="right" vertical="center" wrapText="1"/>
    </xf>
    <xf numFmtId="4" fontId="3" fillId="0" borderId="85" xfId="0" applyNumberFormat="1" applyFont="1" applyBorder="1" applyAlignment="1">
      <alignment horizontal="right" vertical="center" wrapText="1"/>
    </xf>
    <xf numFmtId="4" fontId="3" fillId="0" borderId="62" xfId="0" applyNumberFormat="1" applyFont="1" applyBorder="1" applyAlignment="1">
      <alignment horizontal="right" vertical="center"/>
    </xf>
    <xf numFmtId="4" fontId="3" fillId="0" borderId="60" xfId="0" applyNumberFormat="1" applyFont="1" applyBorder="1" applyAlignment="1">
      <alignment horizontal="right" vertical="center"/>
    </xf>
    <xf numFmtId="4" fontId="3" fillId="0" borderId="61" xfId="0" applyNumberFormat="1" applyFont="1" applyBorder="1" applyAlignment="1">
      <alignment horizontal="right" vertical="center" wrapText="1"/>
    </xf>
    <xf numFmtId="0" fontId="2" fillId="0" borderId="88" xfId="0" applyFont="1" applyBorder="1" applyAlignment="1">
      <alignment horizontal="center" vertical="top"/>
    </xf>
    <xf numFmtId="0" fontId="3" fillId="0" borderId="90" xfId="0" applyFont="1" applyFill="1" applyBorder="1" applyAlignment="1">
      <alignment horizontal="left" vertical="center" wrapText="1" indent="1"/>
    </xf>
    <xf numFmtId="0" fontId="3" fillId="0" borderId="91" xfId="0" applyFont="1" applyFill="1" applyBorder="1" applyAlignment="1">
      <alignment horizontal="left" vertical="center" wrapText="1" indent="1"/>
    </xf>
    <xf numFmtId="0" fontId="3" fillId="0" borderId="92" xfId="0" applyFont="1" applyFill="1" applyBorder="1" applyAlignment="1">
      <alignment horizontal="left" vertical="center" wrapText="1" indent="1"/>
    </xf>
    <xf numFmtId="0" fontId="3" fillId="0" borderId="93" xfId="0" applyFont="1" applyFill="1" applyBorder="1" applyAlignment="1">
      <alignment horizontal="left" vertical="center" wrapText="1" indent="1"/>
    </xf>
    <xf numFmtId="49" fontId="9" fillId="0" borderId="16" xfId="0" applyNumberFormat="1" applyFont="1" applyBorder="1" applyAlignment="1">
      <alignment horizontal="center" vertical="center" wrapText="1"/>
    </xf>
    <xf numFmtId="0" fontId="3" fillId="0" borderId="94" xfId="0" applyFont="1" applyFill="1" applyBorder="1" applyAlignment="1">
      <alignment horizontal="left" vertical="center" wrapText="1" indent="1"/>
    </xf>
    <xf numFmtId="49" fontId="3" fillId="0" borderId="24" xfId="0" applyNumberFormat="1" applyFont="1" applyBorder="1" applyAlignment="1">
      <alignment horizontal="center" vertical="center" wrapText="1"/>
    </xf>
    <xf numFmtId="4" fontId="3" fillId="0" borderId="95" xfId="0" applyNumberFormat="1" applyFont="1" applyBorder="1" applyAlignment="1">
      <alignment horizontal="right" vertical="center"/>
    </xf>
    <xf numFmtId="4" fontId="3" fillId="0" borderId="96" xfId="0" applyNumberFormat="1" applyFont="1" applyBorder="1" applyAlignment="1">
      <alignment horizontal="right" vertical="center"/>
    </xf>
    <xf numFmtId="4" fontId="3" fillId="0" borderId="97" xfId="0" applyNumberFormat="1" applyFont="1" applyBorder="1" applyAlignment="1">
      <alignment horizontal="right" vertical="center" wrapText="1"/>
    </xf>
    <xf numFmtId="4" fontId="3" fillId="0" borderId="98" xfId="0" applyNumberFormat="1" applyFont="1" applyBorder="1" applyAlignment="1">
      <alignment horizontal="right" vertical="center" wrapText="1"/>
    </xf>
    <xf numFmtId="49" fontId="3" fillId="0" borderId="59" xfId="0" applyNumberFormat="1" applyFont="1" applyBorder="1" applyAlignment="1">
      <alignment horizontal="center" vertical="center" wrapText="1"/>
    </xf>
    <xf numFmtId="49" fontId="9"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6" fillId="0" borderId="24" xfId="0" applyNumberFormat="1" applyFont="1" applyBorder="1" applyAlignment="1">
      <alignment horizontal="center" vertical="center" wrapText="1"/>
    </xf>
    <xf numFmtId="49" fontId="6" fillId="0" borderId="59" xfId="0" applyNumberFormat="1" applyFont="1" applyBorder="1" applyAlignment="1">
      <alignment horizontal="center" vertical="center" wrapText="1"/>
    </xf>
    <xf numFmtId="49" fontId="10" fillId="0" borderId="29" xfId="0" applyNumberFormat="1" applyFont="1" applyBorder="1" applyAlignment="1">
      <alignment horizontal="center" vertical="center" wrapText="1"/>
    </xf>
    <xf numFmtId="4" fontId="6" fillId="0" borderId="75" xfId="0" applyNumberFormat="1" applyFont="1" applyBorder="1" applyAlignment="1">
      <alignment horizontal="right" vertical="center"/>
    </xf>
    <xf numFmtId="4" fontId="6" fillId="0" borderId="79" xfId="0" applyNumberFormat="1" applyFont="1" applyBorder="1" applyAlignment="1">
      <alignment horizontal="right" vertical="center"/>
    </xf>
    <xf numFmtId="4" fontId="6" fillId="0" borderId="86" xfId="0" applyNumberFormat="1" applyFont="1" applyBorder="1" applyAlignment="1">
      <alignment horizontal="right" vertical="center" wrapText="1"/>
    </xf>
    <xf numFmtId="4" fontId="6" fillId="0" borderId="79" xfId="0" applyNumberFormat="1" applyFont="1" applyBorder="1" applyAlignment="1">
      <alignment horizontal="right" vertical="center" wrapText="1"/>
    </xf>
    <xf numFmtId="4" fontId="6" fillId="0" borderId="89" xfId="0" applyNumberFormat="1" applyFont="1" applyBorder="1" applyAlignment="1">
      <alignment horizontal="right" vertical="center" wrapText="1"/>
    </xf>
    <xf numFmtId="4" fontId="6" fillId="0" borderId="89" xfId="0" applyNumberFormat="1" applyFont="1" applyBorder="1" applyAlignment="1">
      <alignment horizontal="right" vertical="center"/>
    </xf>
    <xf numFmtId="4" fontId="6" fillId="0" borderId="80" xfId="0" applyNumberFormat="1" applyFont="1" applyBorder="1" applyAlignment="1">
      <alignment horizontal="right" vertical="center"/>
    </xf>
    <xf numFmtId="4" fontId="6" fillId="0" borderId="75" xfId="0" applyNumberFormat="1" applyFont="1" applyBorder="1" applyAlignment="1">
      <alignment horizontal="right" vertical="center" wrapText="1"/>
    </xf>
    <xf numFmtId="4" fontId="6" fillId="0" borderId="80" xfId="0" applyNumberFormat="1" applyFont="1" applyBorder="1" applyAlignment="1">
      <alignment horizontal="right" vertical="center" wrapText="1"/>
    </xf>
    <xf numFmtId="0" fontId="7" fillId="0" borderId="100" xfId="0" applyFont="1" applyFill="1" applyBorder="1" applyAlignment="1">
      <alignment horizontal="left" vertical="center" wrapText="1"/>
    </xf>
    <xf numFmtId="4" fontId="3" fillId="0" borderId="62" xfId="0" applyNumberFormat="1" applyFont="1" applyBorder="1" applyAlignment="1">
      <alignment horizontal="center" vertical="center"/>
    </xf>
    <xf numFmtId="4" fontId="3" fillId="0" borderId="38" xfId="0" applyNumberFormat="1" applyFont="1" applyBorder="1" applyAlignment="1">
      <alignment horizontal="center" vertical="center"/>
    </xf>
    <xf numFmtId="4" fontId="3" fillId="0" borderId="95" xfId="0" applyNumberFormat="1" applyFont="1" applyBorder="1" applyAlignment="1">
      <alignment horizontal="center" vertical="center"/>
    </xf>
    <xf numFmtId="4" fontId="3" fillId="0" borderId="39" xfId="0" applyNumberFormat="1" applyFont="1" applyBorder="1" applyAlignment="1">
      <alignment horizontal="center" vertical="center"/>
    </xf>
    <xf numFmtId="0" fontId="3" fillId="0" borderId="0" xfId="0" applyFont="1" applyBorder="1" applyAlignment="1">
      <alignment horizontal="center" vertical="center"/>
    </xf>
    <xf numFmtId="0" fontId="7" fillId="0" borderId="66" xfId="0" applyFont="1" applyFill="1" applyBorder="1" applyAlignment="1">
      <alignment vertical="center" wrapText="1"/>
    </xf>
    <xf numFmtId="0" fontId="7" fillId="0" borderId="67" xfId="0" applyFont="1" applyFill="1" applyBorder="1" applyAlignment="1">
      <alignment vertical="center" wrapText="1"/>
    </xf>
    <xf numFmtId="0" fontId="7" fillId="0" borderId="68" xfId="0" applyFont="1" applyFill="1" applyBorder="1" applyAlignment="1">
      <alignment vertical="center" wrapText="1"/>
    </xf>
    <xf numFmtId="0" fontId="7" fillId="0" borderId="66" xfId="0" applyFont="1" applyFill="1" applyBorder="1" applyAlignment="1">
      <alignment vertical="center"/>
    </xf>
    <xf numFmtId="0" fontId="7" fillId="0" borderId="66" xfId="0" applyFont="1" applyFill="1" applyBorder="1" applyAlignment="1">
      <alignment horizontal="left" vertical="center"/>
    </xf>
    <xf numFmtId="0" fontId="7" fillId="0" borderId="0" xfId="0" applyFont="1" applyFill="1" applyBorder="1" applyAlignment="1">
      <alignment vertical="center" wrapText="1"/>
    </xf>
    <xf numFmtId="0" fontId="2" fillId="0" borderId="103" xfId="0" applyFont="1" applyBorder="1" applyAlignment="1">
      <alignment horizontal="center" vertical="top"/>
    </xf>
    <xf numFmtId="0" fontId="2" fillId="0" borderId="104" xfId="0" applyFont="1" applyBorder="1" applyAlignment="1">
      <alignment horizontal="center" vertical="top"/>
    </xf>
    <xf numFmtId="0" fontId="2" fillId="0" borderId="104" xfId="0" applyFont="1" applyBorder="1" applyAlignment="1">
      <alignment horizontal="center" vertical="top" wrapText="1"/>
    </xf>
    <xf numFmtId="0" fontId="2" fillId="0" borderId="105" xfId="0" applyFont="1" applyBorder="1" applyAlignment="1">
      <alignment horizontal="center" vertical="top" wrapText="1"/>
    </xf>
    <xf numFmtId="4" fontId="3" fillId="0" borderId="60" xfId="0" applyNumberFormat="1" applyFont="1" applyBorder="1" applyAlignment="1">
      <alignment horizontal="right" vertical="center" wrapText="1"/>
    </xf>
    <xf numFmtId="4" fontId="3" fillId="0" borderId="13" xfId="0" applyNumberFormat="1" applyFont="1" applyBorder="1" applyAlignment="1">
      <alignment horizontal="right" vertical="center" wrapText="1"/>
    </xf>
    <xf numFmtId="4" fontId="3" fillId="0" borderId="32" xfId="0" applyNumberFormat="1" applyFont="1" applyBorder="1" applyAlignment="1">
      <alignment horizontal="right" vertical="center" wrapText="1"/>
    </xf>
    <xf numFmtId="0" fontId="7" fillId="0" borderId="100" xfId="0" applyFont="1" applyFill="1" applyBorder="1" applyAlignment="1">
      <alignment vertical="center" wrapText="1"/>
    </xf>
    <xf numFmtId="4" fontId="3" fillId="0" borderId="13" xfId="0" applyNumberFormat="1" applyFont="1" applyBorder="1" applyAlignment="1">
      <alignment horizontal="right" vertical="top" wrapText="1"/>
    </xf>
    <xf numFmtId="4" fontId="3" fillId="0" borderId="102" xfId="0" applyNumberFormat="1" applyFont="1" applyBorder="1" applyAlignment="1">
      <alignment horizontal="right" vertical="center"/>
    </xf>
    <xf numFmtId="4" fontId="3" fillId="0" borderId="22" xfId="0" applyNumberFormat="1" applyFont="1" applyBorder="1" applyAlignment="1">
      <alignment horizontal="right" vertical="center"/>
    </xf>
    <xf numFmtId="4" fontId="3" fillId="0" borderId="106" xfId="0" applyNumberFormat="1" applyFont="1" applyBorder="1" applyAlignment="1">
      <alignment horizontal="right" vertical="center" wrapText="1"/>
    </xf>
    <xf numFmtId="4" fontId="3" fillId="0" borderId="107" xfId="0" applyNumberFormat="1" applyFont="1" applyBorder="1" applyAlignment="1">
      <alignment horizontal="right" vertical="center" wrapText="1"/>
    </xf>
    <xf numFmtId="4" fontId="3" fillId="0" borderId="108" xfId="0" applyNumberFormat="1" applyFont="1" applyBorder="1" applyAlignment="1">
      <alignment horizontal="right" vertical="center" wrapText="1"/>
    </xf>
    <xf numFmtId="4" fontId="3" fillId="0" borderId="17" xfId="0" applyNumberFormat="1" applyFont="1" applyBorder="1" applyAlignment="1">
      <alignment horizontal="right" vertical="center"/>
    </xf>
    <xf numFmtId="4" fontId="3" fillId="0" borderId="18" xfId="0" applyNumberFormat="1" applyFont="1" applyBorder="1" applyAlignment="1">
      <alignment horizontal="right" vertical="center" wrapText="1"/>
    </xf>
    <xf numFmtId="4" fontId="3" fillId="0" borderId="107" xfId="0" applyNumberFormat="1" applyFont="1" applyBorder="1" applyAlignment="1">
      <alignment horizontal="right" vertical="top" wrapText="1"/>
    </xf>
    <xf numFmtId="4" fontId="3" fillId="0" borderId="17" xfId="0" applyNumberFormat="1" applyFont="1" applyBorder="1" applyAlignment="1">
      <alignment horizontal="right" vertical="top"/>
    </xf>
    <xf numFmtId="4" fontId="3" fillId="0" borderId="18" xfId="0" applyNumberFormat="1" applyFont="1" applyBorder="1" applyAlignment="1">
      <alignment horizontal="right" vertical="top" wrapText="1"/>
    </xf>
    <xf numFmtId="4" fontId="3" fillId="0" borderId="59" xfId="0" applyNumberFormat="1" applyFont="1" applyBorder="1" applyAlignment="1">
      <alignment horizontal="right" vertical="center"/>
    </xf>
    <xf numFmtId="4" fontId="3" fillId="0" borderId="109" xfId="0" applyNumberFormat="1" applyFont="1" applyBorder="1" applyAlignment="1">
      <alignment horizontal="right" vertical="center" wrapText="1"/>
    </xf>
    <xf numFmtId="4" fontId="3" fillId="0" borderId="29" xfId="0" applyNumberFormat="1" applyFont="1" applyBorder="1" applyAlignment="1">
      <alignment horizontal="right" vertical="center"/>
    </xf>
    <xf numFmtId="4" fontId="3" fillId="0" borderId="30" xfId="0" applyNumberFormat="1" applyFont="1" applyBorder="1" applyAlignment="1">
      <alignment horizontal="right" vertical="center" wrapText="1"/>
    </xf>
    <xf numFmtId="4" fontId="3" fillId="0" borderId="110"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4" fontId="3" fillId="0" borderId="47" xfId="0" applyNumberFormat="1" applyFont="1" applyBorder="1" applyAlignment="1">
      <alignment horizontal="right" vertical="center" wrapText="1"/>
    </xf>
    <xf numFmtId="0" fontId="3" fillId="0" borderId="22" xfId="0" applyFont="1" applyFill="1" applyBorder="1" applyAlignment="1">
      <alignment horizontal="left" vertical="center" wrapText="1" indent="1"/>
    </xf>
    <xf numFmtId="4" fontId="3" fillId="0" borderId="73" xfId="0" applyNumberFormat="1" applyFont="1" applyBorder="1" applyAlignment="1">
      <alignment horizontal="right" vertical="center"/>
    </xf>
    <xf numFmtId="4" fontId="3" fillId="0" borderId="74" xfId="0" applyNumberFormat="1" applyFont="1" applyBorder="1" applyAlignment="1">
      <alignment horizontal="right" vertical="center"/>
    </xf>
    <xf numFmtId="0" fontId="2" fillId="0" borderId="50" xfId="0" applyFont="1" applyBorder="1" applyAlignment="1">
      <alignment horizontal="center" vertical="top" wrapText="1"/>
    </xf>
    <xf numFmtId="0" fontId="2" fillId="0" borderId="27" xfId="0" applyFont="1" applyBorder="1" applyAlignment="1">
      <alignment horizontal="center" vertical="top" wrapText="1"/>
    </xf>
    <xf numFmtId="49" fontId="6" fillId="0" borderId="16" xfId="0" applyNumberFormat="1" applyFont="1" applyBorder="1" applyAlignment="1">
      <alignment horizontal="center" vertical="top" wrapText="1"/>
    </xf>
    <xf numFmtId="49" fontId="3" fillId="0" borderId="16" xfId="0" applyNumberFormat="1" applyFont="1" applyBorder="1" applyAlignment="1">
      <alignment horizontal="center" vertical="top" wrapText="1"/>
    </xf>
    <xf numFmtId="4" fontId="6" fillId="0" borderId="75" xfId="0" applyNumberFormat="1" applyFont="1" applyBorder="1" applyAlignment="1">
      <alignment horizontal="right" vertical="top"/>
    </xf>
    <xf numFmtId="4" fontId="3" fillId="0" borderId="81" xfId="0" applyNumberFormat="1" applyFont="1" applyBorder="1" applyAlignment="1">
      <alignment horizontal="right" vertical="top" wrapText="1"/>
    </xf>
    <xf numFmtId="4" fontId="6" fillId="0" borderId="86" xfId="0" applyNumberFormat="1" applyFont="1" applyBorder="1" applyAlignment="1">
      <alignment horizontal="right" vertical="top" wrapText="1"/>
    </xf>
    <xf numFmtId="4" fontId="6" fillId="0" borderId="79" xfId="0" applyNumberFormat="1" applyFont="1" applyBorder="1" applyAlignment="1">
      <alignment horizontal="right" vertical="top"/>
    </xf>
    <xf numFmtId="4" fontId="3" fillId="0" borderId="48" xfId="0" applyNumberFormat="1" applyFont="1" applyBorder="1" applyAlignment="1">
      <alignment horizontal="right" vertical="top" wrapText="1"/>
    </xf>
    <xf numFmtId="4" fontId="3" fillId="0" borderId="82" xfId="0" applyNumberFormat="1" applyFont="1" applyBorder="1" applyAlignment="1">
      <alignment horizontal="right" vertical="top" wrapText="1"/>
    </xf>
    <xf numFmtId="4" fontId="6" fillId="0" borderId="79" xfId="0" applyNumberFormat="1" applyFont="1" applyBorder="1" applyAlignment="1">
      <alignment horizontal="right" vertical="top" wrapText="1"/>
    </xf>
    <xf numFmtId="49" fontId="10" fillId="0" borderId="17" xfId="0" applyNumberFormat="1" applyFont="1" applyBorder="1" applyAlignment="1">
      <alignment horizontal="center" vertical="top" wrapText="1"/>
    </xf>
    <xf numFmtId="49" fontId="9" fillId="0" borderId="17" xfId="0" applyNumberFormat="1" applyFont="1" applyBorder="1" applyAlignment="1">
      <alignment horizontal="center" vertical="top" wrapText="1"/>
    </xf>
    <xf numFmtId="49" fontId="10" fillId="0" borderId="16" xfId="0" applyNumberFormat="1" applyFont="1" applyBorder="1" applyAlignment="1">
      <alignment horizontal="center" vertical="top" wrapText="1"/>
    </xf>
    <xf numFmtId="49" fontId="9" fillId="0" borderId="16" xfId="0" applyNumberFormat="1" applyFont="1" applyBorder="1" applyAlignment="1">
      <alignment horizontal="center" vertical="top" wrapText="1"/>
    </xf>
    <xf numFmtId="4" fontId="3" fillId="0" borderId="85" xfId="0" applyNumberFormat="1" applyFont="1" applyBorder="1" applyAlignment="1">
      <alignment horizontal="right" vertical="top" wrapText="1"/>
    </xf>
    <xf numFmtId="49" fontId="6" fillId="0" borderId="17" xfId="0" applyNumberFormat="1" applyFont="1" applyBorder="1" applyAlignment="1">
      <alignment horizontal="center" vertical="top" wrapText="1"/>
    </xf>
    <xf numFmtId="49" fontId="3" fillId="0" borderId="17" xfId="0" applyNumberFormat="1" applyFont="1" applyBorder="1" applyAlignment="1">
      <alignment horizontal="center" vertical="top" wrapText="1"/>
    </xf>
    <xf numFmtId="49" fontId="6" fillId="0" borderId="24" xfId="0" applyNumberFormat="1" applyFont="1" applyBorder="1" applyAlignment="1">
      <alignment horizontal="center" vertical="top" wrapText="1"/>
    </xf>
    <xf numFmtId="49" fontId="3" fillId="0" borderId="24" xfId="0" applyNumberFormat="1" applyFont="1" applyBorder="1" applyAlignment="1">
      <alignment horizontal="center" vertical="top" wrapText="1"/>
    </xf>
    <xf numFmtId="4" fontId="6" fillId="0" borderId="89" xfId="0" applyNumberFormat="1" applyFont="1" applyBorder="1" applyAlignment="1">
      <alignment horizontal="right" vertical="top"/>
    </xf>
    <xf numFmtId="4" fontId="3" fillId="0" borderId="95" xfId="0" applyNumberFormat="1" applyFont="1" applyBorder="1" applyAlignment="1">
      <alignment horizontal="right" vertical="top"/>
    </xf>
    <xf numFmtId="4" fontId="3" fillId="0" borderId="96" xfId="0" applyNumberFormat="1" applyFont="1" applyBorder="1" applyAlignment="1">
      <alignment horizontal="right" vertical="top"/>
    </xf>
    <xf numFmtId="4" fontId="3" fillId="0" borderId="97" xfId="0" applyNumberFormat="1" applyFont="1" applyBorder="1" applyAlignment="1">
      <alignment horizontal="right" vertical="top" wrapText="1"/>
    </xf>
    <xf numFmtId="4" fontId="3" fillId="0" borderId="98" xfId="0" applyNumberFormat="1" applyFont="1" applyBorder="1" applyAlignment="1">
      <alignment horizontal="right" vertical="top" wrapText="1"/>
    </xf>
    <xf numFmtId="4" fontId="6" fillId="0" borderId="89" xfId="0" applyNumberFormat="1" applyFont="1" applyBorder="1" applyAlignment="1">
      <alignment horizontal="right" vertical="top" wrapText="1"/>
    </xf>
    <xf numFmtId="49" fontId="6" fillId="0" borderId="59" xfId="0" applyNumberFormat="1" applyFont="1" applyBorder="1" applyAlignment="1">
      <alignment horizontal="center" vertical="top" wrapText="1"/>
    </xf>
    <xf numFmtId="49" fontId="3" fillId="0" borderId="59" xfId="0" applyNumberFormat="1" applyFont="1" applyBorder="1" applyAlignment="1">
      <alignment horizontal="center" vertical="top" wrapText="1"/>
    </xf>
    <xf numFmtId="49" fontId="10" fillId="0" borderId="29" xfId="0" applyNumberFormat="1" applyFont="1" applyBorder="1" applyAlignment="1">
      <alignment horizontal="center" vertical="top" wrapText="1"/>
    </xf>
    <xf numFmtId="49" fontId="9" fillId="0" borderId="29" xfId="0" applyNumberFormat="1" applyFont="1" applyBorder="1" applyAlignment="1">
      <alignment horizontal="center" vertical="top" wrapText="1"/>
    </xf>
    <xf numFmtId="4" fontId="6" fillId="0" borderId="80" xfId="0" applyNumberFormat="1" applyFont="1" applyBorder="1" applyAlignment="1">
      <alignment horizontal="right" vertical="top"/>
    </xf>
    <xf numFmtId="4" fontId="3" fillId="0" borderId="78" xfId="0" applyNumberFormat="1" applyFont="1" applyBorder="1" applyAlignment="1">
      <alignment horizontal="right" vertical="top" wrapText="1"/>
    </xf>
    <xf numFmtId="4" fontId="3" fillId="0" borderId="83" xfId="0" applyNumberFormat="1" applyFont="1" applyBorder="1" applyAlignment="1">
      <alignment horizontal="right" vertical="top" wrapText="1"/>
    </xf>
    <xf numFmtId="4" fontId="6" fillId="0" borderId="80" xfId="0" applyNumberFormat="1" applyFont="1" applyBorder="1" applyAlignment="1">
      <alignment horizontal="right" vertical="top" wrapText="1"/>
    </xf>
    <xf numFmtId="4" fontId="3" fillId="0" borderId="0" xfId="0" applyNumberFormat="1" applyFont="1" applyAlignment="1">
      <alignment horizontal="right" vertical="top"/>
    </xf>
    <xf numFmtId="4" fontId="3" fillId="0" borderId="102" xfId="0" applyNumberFormat="1" applyFont="1" applyBorder="1" applyAlignment="1">
      <alignment horizontal="center" vertical="center"/>
    </xf>
    <xf numFmtId="4" fontId="3" fillId="0" borderId="23" xfId="0" applyNumberFormat="1" applyFont="1" applyBorder="1" applyAlignment="1">
      <alignment horizontal="right" vertical="center"/>
    </xf>
    <xf numFmtId="4" fontId="3" fillId="0" borderId="24" xfId="0" applyNumberFormat="1" applyFont="1" applyBorder="1" applyAlignment="1">
      <alignment horizontal="right" vertical="center"/>
    </xf>
    <xf numFmtId="4" fontId="3" fillId="0" borderId="26" xfId="0" applyNumberFormat="1" applyFont="1" applyBorder="1" applyAlignment="1">
      <alignment horizontal="right" vertical="center" wrapText="1"/>
    </xf>
    <xf numFmtId="4" fontId="3" fillId="0" borderId="25" xfId="0" applyNumberFormat="1" applyFont="1" applyBorder="1" applyAlignment="1">
      <alignment horizontal="right" vertical="center" wrapText="1"/>
    </xf>
    <xf numFmtId="4" fontId="3" fillId="0" borderId="134" xfId="0" applyNumberFormat="1" applyFont="1" applyBorder="1" applyAlignment="1">
      <alignment horizontal="right" vertical="center" wrapText="1"/>
    </xf>
    <xf numFmtId="4" fontId="3" fillId="0" borderId="21" xfId="0" applyNumberFormat="1" applyFont="1" applyBorder="1" applyAlignment="1">
      <alignment horizontal="right" vertical="center"/>
    </xf>
    <xf numFmtId="4" fontId="3" fillId="0" borderId="16" xfId="0" applyNumberFormat="1" applyFont="1" applyBorder="1" applyAlignment="1">
      <alignment horizontal="right" vertical="center"/>
    </xf>
    <xf numFmtId="49" fontId="3" fillId="0" borderId="135" xfId="0" applyNumberFormat="1" applyFont="1" applyBorder="1" applyAlignment="1">
      <alignment horizontal="center" vertical="center" wrapText="1"/>
    </xf>
    <xf numFmtId="49" fontId="9" fillId="0" borderId="59" xfId="0" applyNumberFormat="1" applyFont="1" applyBorder="1" applyAlignment="1">
      <alignment horizontal="center" vertical="center" wrapText="1"/>
    </xf>
    <xf numFmtId="4" fontId="3" fillId="0" borderId="111" xfId="0" applyNumberFormat="1" applyFont="1" applyBorder="1" applyAlignment="1">
      <alignment horizontal="right" vertical="center"/>
    </xf>
    <xf numFmtId="4" fontId="3" fillId="0" borderId="136" xfId="0" applyNumberFormat="1" applyFont="1" applyBorder="1" applyAlignment="1">
      <alignment horizontal="right" vertical="center"/>
    </xf>
    <xf numFmtId="4" fontId="3" fillId="0" borderId="33" xfId="0" applyNumberFormat="1" applyFont="1" applyBorder="1" applyAlignment="1">
      <alignment horizontal="right" vertical="center" wrapText="1"/>
    </xf>
    <xf numFmtId="4" fontId="3" fillId="0" borderId="137" xfId="0" applyNumberFormat="1" applyFont="1" applyBorder="1" applyAlignment="1">
      <alignment horizontal="right" vertical="center" wrapText="1"/>
    </xf>
    <xf numFmtId="4" fontId="3" fillId="0" borderId="113" xfId="0" applyNumberFormat="1" applyFont="1" applyBorder="1" applyAlignment="1">
      <alignment horizontal="right" vertical="center" wrapText="1"/>
    </xf>
    <xf numFmtId="0" fontId="6" fillId="0" borderId="0" xfId="0" applyFont="1" applyAlignment="1">
      <alignment horizontal="right"/>
    </xf>
    <xf numFmtId="4" fontId="6" fillId="0" borderId="102" xfId="0" applyNumberFormat="1" applyFont="1" applyBorder="1" applyAlignment="1">
      <alignment horizontal="right" vertical="center"/>
    </xf>
    <xf numFmtId="4" fontId="6" fillId="0" borderId="22" xfId="0" applyNumberFormat="1" applyFont="1" applyBorder="1" applyAlignment="1">
      <alignment horizontal="right" vertical="center"/>
    </xf>
    <xf numFmtId="4" fontId="6" fillId="0" borderId="28" xfId="0" applyNumberFormat="1" applyFont="1" applyBorder="1" applyAlignment="1">
      <alignment horizontal="right" vertical="center"/>
    </xf>
    <xf numFmtId="0" fontId="6" fillId="0" borderId="0" xfId="0" applyFont="1" applyBorder="1" applyAlignment="1">
      <alignment horizontal="right"/>
    </xf>
    <xf numFmtId="0" fontId="3" fillId="0" borderId="138" xfId="0" applyFont="1" applyFill="1" applyBorder="1" applyAlignment="1">
      <alignment horizontal="left" vertical="center" wrapText="1" indent="1"/>
    </xf>
    <xf numFmtId="4" fontId="3" fillId="0" borderId="132" xfId="0" applyNumberFormat="1" applyFont="1" applyBorder="1" applyAlignment="1">
      <alignment horizontal="center" vertical="center"/>
    </xf>
    <xf numFmtId="4" fontId="3" fillId="0" borderId="128" xfId="0" applyNumberFormat="1" applyFont="1" applyBorder="1" applyAlignment="1">
      <alignment horizontal="right" vertical="center"/>
    </xf>
    <xf numFmtId="4" fontId="3" fillId="0" borderId="130" xfId="0" applyNumberFormat="1" applyFont="1" applyBorder="1" applyAlignment="1">
      <alignment horizontal="right" vertical="center" wrapText="1"/>
    </xf>
    <xf numFmtId="4" fontId="3" fillId="0" borderId="129" xfId="0" applyNumberFormat="1" applyFont="1" applyBorder="1" applyAlignment="1">
      <alignment horizontal="right" vertical="center" wrapText="1"/>
    </xf>
    <xf numFmtId="4" fontId="3" fillId="0" borderId="140" xfId="0" applyNumberFormat="1" applyFont="1" applyBorder="1" applyAlignment="1">
      <alignment horizontal="right" vertical="center" wrapText="1"/>
    </xf>
    <xf numFmtId="4" fontId="6" fillId="0" borderId="139" xfId="0" applyNumberFormat="1" applyFont="1" applyBorder="1" applyAlignment="1">
      <alignment horizontal="right" vertical="center"/>
    </xf>
    <xf numFmtId="4" fontId="6" fillId="0" borderId="21" xfId="0" applyNumberFormat="1" applyFont="1" applyBorder="1" applyAlignment="1">
      <alignment horizontal="right" vertical="center"/>
    </xf>
    <xf numFmtId="4" fontId="6" fillId="0" borderId="22" xfId="0" applyNumberFormat="1" applyFont="1" applyBorder="1" applyAlignment="1">
      <alignment horizontal="right" vertical="top"/>
    </xf>
    <xf numFmtId="4" fontId="3" fillId="0" borderId="73" xfId="0" applyNumberFormat="1" applyFont="1" applyBorder="1" applyAlignment="1">
      <alignment horizontal="center" vertical="center"/>
    </xf>
    <xf numFmtId="0" fontId="7" fillId="0" borderId="111" xfId="0" applyFont="1" applyFill="1" applyBorder="1" applyAlignment="1">
      <alignment vertical="center"/>
    </xf>
    <xf numFmtId="49" fontId="10" fillId="0" borderId="59"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3" fillId="0" borderId="29" xfId="0" applyNumberFormat="1" applyFont="1" applyBorder="1" applyAlignment="1">
      <alignment horizontal="center" vertical="center" wrapText="1"/>
    </xf>
    <xf numFmtId="0" fontId="2" fillId="0" borderId="50" xfId="0" applyFont="1" applyBorder="1" applyAlignment="1">
      <alignment horizontal="center" vertical="top" wrapText="1"/>
    </xf>
    <xf numFmtId="0" fontId="2" fillId="0" borderId="64" xfId="0" applyFont="1" applyBorder="1" applyAlignment="1">
      <alignment horizontal="center" vertical="top" wrapText="1"/>
    </xf>
    <xf numFmtId="4" fontId="3" fillId="0" borderId="125" xfId="0" applyNumberFormat="1" applyFont="1" applyBorder="1" applyAlignment="1">
      <alignment horizontal="right" vertical="top" wrapText="1"/>
    </xf>
    <xf numFmtId="0" fontId="3" fillId="0" borderId="0" xfId="0" applyFont="1" applyAlignment="1" applyProtection="1">
      <alignment horizontal="left"/>
      <protection hidden="1"/>
    </xf>
    <xf numFmtId="0" fontId="3" fillId="0" borderId="0" xfId="0" applyFont="1" applyProtection="1">
      <protection hidden="1"/>
    </xf>
    <xf numFmtId="0" fontId="3" fillId="0" borderId="0" xfId="0" applyFont="1" applyAlignment="1" applyProtection="1">
      <alignment horizontal="right"/>
      <protection hidden="1"/>
    </xf>
    <xf numFmtId="0" fontId="3" fillId="2" borderId="0" xfId="0" applyFont="1" applyFill="1" applyProtection="1">
      <protection hidden="1"/>
    </xf>
    <xf numFmtId="0" fontId="14" fillId="0" borderId="0" xfId="0" applyFont="1" applyAlignment="1" applyProtection="1">
      <alignment horizontal="right" vertical="top"/>
      <protection hidden="1"/>
    </xf>
    <xf numFmtId="0" fontId="11" fillId="2" borderId="0" xfId="0" applyFont="1" applyFill="1" applyAlignment="1" applyProtection="1">
      <alignment horizontal="center" vertical="center"/>
      <protection hidden="1"/>
    </xf>
    <xf numFmtId="0" fontId="11" fillId="0" borderId="0" xfId="0" applyFont="1" applyAlignment="1" applyProtection="1">
      <alignment horizontal="center" vertical="top"/>
      <protection hidden="1"/>
    </xf>
    <xf numFmtId="0" fontId="11" fillId="0" borderId="0" xfId="0" applyFont="1" applyAlignment="1" applyProtection="1">
      <alignment horizontal="center" vertical="center"/>
      <protection hidden="1"/>
    </xf>
    <xf numFmtId="0" fontId="2" fillId="0" borderId="4" xfId="0" applyFont="1" applyBorder="1" applyAlignment="1" applyProtection="1">
      <alignment horizontal="center" vertical="top" wrapText="1"/>
      <protection hidden="1"/>
    </xf>
    <xf numFmtId="0" fontId="11" fillId="2" borderId="0" xfId="0" applyFont="1" applyFill="1" applyAlignment="1" applyProtection="1">
      <alignment horizontal="center"/>
      <protection hidden="1"/>
    </xf>
    <xf numFmtId="0" fontId="11" fillId="0" borderId="0" xfId="0" applyFont="1" applyAlignment="1" applyProtection="1">
      <alignment horizontal="center"/>
      <protection hidden="1"/>
    </xf>
    <xf numFmtId="0" fontId="2" fillId="0" borderId="5" xfId="0" applyFont="1" applyBorder="1" applyAlignment="1" applyProtection="1">
      <alignment horizontal="center" vertical="top"/>
      <protection hidden="1"/>
    </xf>
    <xf numFmtId="0" fontId="2" fillId="0" borderId="6" xfId="0" applyFont="1" applyBorder="1" applyAlignment="1" applyProtection="1">
      <alignment horizontal="center" vertical="top"/>
      <protection hidden="1"/>
    </xf>
    <xf numFmtId="0" fontId="2" fillId="0" borderId="7" xfId="0" applyFont="1" applyBorder="1" applyAlignment="1" applyProtection="1">
      <alignment horizontal="center" vertical="top" wrapText="1"/>
      <protection hidden="1"/>
    </xf>
    <xf numFmtId="0" fontId="3" fillId="0" borderId="58" xfId="0" applyFont="1" applyBorder="1" applyAlignment="1" applyProtection="1">
      <alignment horizontal="right" vertical="top" wrapText="1"/>
      <protection hidden="1"/>
    </xf>
    <xf numFmtId="0" fontId="3" fillId="0" borderId="59" xfId="0" applyFont="1" applyBorder="1" applyAlignment="1" applyProtection="1">
      <alignment horizontal="right" vertical="top" wrapText="1"/>
      <protection hidden="1"/>
    </xf>
    <xf numFmtId="0" fontId="6" fillId="0" borderId="60" xfId="0" applyFont="1" applyBorder="1" applyAlignment="1" applyProtection="1">
      <alignment horizontal="right" vertical="top" wrapText="1"/>
      <protection hidden="1"/>
    </xf>
    <xf numFmtId="0" fontId="3" fillId="0" borderId="61" xfId="0" applyFont="1" applyBorder="1" applyAlignment="1" applyProtection="1">
      <alignment horizontal="right" vertical="top" wrapText="1"/>
      <protection hidden="1"/>
    </xf>
    <xf numFmtId="4" fontId="3" fillId="0" borderId="62" xfId="0" applyNumberFormat="1" applyFont="1" applyBorder="1" applyAlignment="1" applyProtection="1">
      <alignment horizontal="right" vertical="top"/>
      <protection hidden="1"/>
    </xf>
    <xf numFmtId="4" fontId="3" fillId="0" borderId="60" xfId="0" applyNumberFormat="1" applyFont="1" applyBorder="1" applyAlignment="1" applyProtection="1">
      <alignment horizontal="right" vertical="top"/>
      <protection hidden="1"/>
    </xf>
    <xf numFmtId="4" fontId="3" fillId="0" borderId="125" xfId="0" applyNumberFormat="1" applyFont="1" applyBorder="1" applyAlignment="1" applyProtection="1">
      <alignment horizontal="right" vertical="top" wrapText="1"/>
      <protection hidden="1"/>
    </xf>
    <xf numFmtId="4" fontId="6" fillId="0" borderId="125" xfId="0" applyNumberFormat="1" applyFont="1" applyBorder="1" applyAlignment="1" applyProtection="1">
      <alignment horizontal="right" vertical="top" wrapText="1"/>
      <protection hidden="1"/>
    </xf>
    <xf numFmtId="0" fontId="3" fillId="0" borderId="143" xfId="0" applyFont="1" applyBorder="1" applyAlignment="1" applyProtection="1">
      <alignment horizontal="right" vertical="top" wrapText="1"/>
      <protection hidden="1"/>
    </xf>
    <xf numFmtId="0" fontId="3" fillId="0" borderId="128" xfId="0" applyFont="1" applyBorder="1" applyAlignment="1" applyProtection="1">
      <alignment horizontal="right" vertical="top" wrapText="1"/>
      <protection hidden="1"/>
    </xf>
    <xf numFmtId="0" fontId="6" fillId="0" borderId="130" xfId="0" applyFont="1" applyBorder="1" applyAlignment="1" applyProtection="1">
      <alignment horizontal="right" vertical="top" wrapText="1"/>
      <protection hidden="1"/>
    </xf>
    <xf numFmtId="0" fontId="3" fillId="0" borderId="131" xfId="0" applyFont="1" applyBorder="1" applyAlignment="1" applyProtection="1">
      <alignment horizontal="right" vertical="top" wrapText="1"/>
      <protection hidden="1"/>
    </xf>
    <xf numFmtId="4" fontId="3" fillId="0" borderId="144" xfId="0" applyNumberFormat="1" applyFont="1" applyBorder="1" applyAlignment="1" applyProtection="1">
      <alignment horizontal="right" vertical="top"/>
      <protection hidden="1"/>
    </xf>
    <xf numFmtId="4" fontId="3" fillId="0" borderId="145" xfId="0" applyNumberFormat="1" applyFont="1" applyBorder="1" applyAlignment="1" applyProtection="1">
      <alignment horizontal="right" vertical="top"/>
      <protection hidden="1"/>
    </xf>
    <xf numFmtId="4" fontId="3" fillId="0" borderId="146" xfId="0" applyNumberFormat="1" applyFont="1" applyBorder="1" applyAlignment="1" applyProtection="1">
      <alignment horizontal="right" vertical="top" wrapText="1"/>
      <protection hidden="1"/>
    </xf>
    <xf numFmtId="4" fontId="6" fillId="0" borderId="146" xfId="0" applyNumberFormat="1" applyFont="1" applyBorder="1" applyAlignment="1" applyProtection="1">
      <alignment horizontal="right" vertical="top" wrapText="1"/>
      <protection hidden="1"/>
    </xf>
    <xf numFmtId="0" fontId="3" fillId="0" borderId="149" xfId="0" applyFont="1" applyBorder="1" applyAlignment="1" applyProtection="1">
      <alignment horizontal="right" vertical="top" wrapText="1"/>
      <protection hidden="1"/>
    </xf>
    <xf numFmtId="0" fontId="3" fillId="0" borderId="148" xfId="0" applyFont="1" applyBorder="1" applyAlignment="1" applyProtection="1">
      <alignment horizontal="right" vertical="top" wrapText="1"/>
      <protection hidden="1"/>
    </xf>
    <xf numFmtId="0" fontId="6" fillId="0" borderId="150" xfId="0" applyFont="1" applyBorder="1" applyAlignment="1" applyProtection="1">
      <alignment horizontal="right" vertical="top" wrapText="1"/>
      <protection hidden="1"/>
    </xf>
    <xf numFmtId="0" fontId="3" fillId="0" borderId="151" xfId="0" applyFont="1" applyBorder="1" applyAlignment="1" applyProtection="1">
      <alignment horizontal="right" vertical="top" wrapText="1"/>
      <protection hidden="1"/>
    </xf>
    <xf numFmtId="4" fontId="3" fillId="0" borderId="152" xfId="0" applyNumberFormat="1" applyFont="1" applyBorder="1" applyAlignment="1" applyProtection="1">
      <alignment horizontal="right" vertical="top"/>
      <protection hidden="1"/>
    </xf>
    <xf numFmtId="4" fontId="3" fillId="0" borderId="150" xfId="0" applyNumberFormat="1" applyFont="1" applyBorder="1" applyAlignment="1" applyProtection="1">
      <alignment horizontal="right" vertical="top"/>
      <protection hidden="1"/>
    </xf>
    <xf numFmtId="4" fontId="3" fillId="0" borderId="153" xfId="0" applyNumberFormat="1" applyFont="1" applyBorder="1" applyAlignment="1" applyProtection="1">
      <alignment horizontal="right" vertical="top" wrapText="1"/>
      <protection hidden="1"/>
    </xf>
    <xf numFmtId="4" fontId="6" fillId="0" borderId="153" xfId="0" applyNumberFormat="1" applyFont="1" applyBorder="1" applyAlignment="1" applyProtection="1">
      <alignment horizontal="right" vertical="top" wrapText="1"/>
      <protection hidden="1"/>
    </xf>
    <xf numFmtId="0" fontId="9" fillId="0" borderId="149" xfId="0" applyFont="1" applyBorder="1" applyAlignment="1" applyProtection="1">
      <alignment horizontal="right" vertical="top" wrapText="1"/>
      <protection hidden="1"/>
    </xf>
    <xf numFmtId="0" fontId="9" fillId="0" borderId="148" xfId="0" applyFont="1" applyBorder="1" applyAlignment="1" applyProtection="1">
      <alignment horizontal="right" vertical="top" wrapText="1"/>
      <protection hidden="1"/>
    </xf>
    <xf numFmtId="0" fontId="9" fillId="0" borderId="143" xfId="0" applyFont="1" applyBorder="1" applyAlignment="1" applyProtection="1">
      <alignment horizontal="right" vertical="top" wrapText="1"/>
      <protection hidden="1"/>
    </xf>
    <xf numFmtId="0" fontId="10" fillId="0" borderId="150" xfId="0" applyFont="1" applyBorder="1" applyAlignment="1" applyProtection="1">
      <alignment horizontal="right" vertical="top" wrapText="1"/>
      <protection hidden="1"/>
    </xf>
    <xf numFmtId="0" fontId="9" fillId="0" borderId="151" xfId="0" applyFont="1" applyBorder="1" applyAlignment="1" applyProtection="1">
      <alignment horizontal="right" vertical="top" wrapText="1"/>
      <protection hidden="1"/>
    </xf>
    <xf numFmtId="0" fontId="9" fillId="0" borderId="128" xfId="0" applyFont="1" applyBorder="1" applyAlignment="1" applyProtection="1">
      <alignment horizontal="right" vertical="top" wrapText="1"/>
      <protection hidden="1"/>
    </xf>
    <xf numFmtId="0" fontId="10" fillId="0" borderId="130" xfId="0" applyFont="1" applyBorder="1" applyAlignment="1" applyProtection="1">
      <alignment horizontal="right" vertical="top" wrapText="1"/>
      <protection hidden="1"/>
    </xf>
    <xf numFmtId="0" fontId="9" fillId="0" borderId="131" xfId="0" applyFont="1" applyBorder="1" applyAlignment="1" applyProtection="1">
      <alignment horizontal="right" vertical="top" wrapText="1"/>
      <protection hidden="1"/>
    </xf>
    <xf numFmtId="0" fontId="3" fillId="0" borderId="19" xfId="0" applyFont="1" applyBorder="1" applyAlignment="1" applyProtection="1">
      <alignment horizontal="right" vertical="top" wrapText="1"/>
      <protection hidden="1"/>
    </xf>
    <xf numFmtId="0" fontId="3" fillId="0" borderId="16" xfId="0" applyFont="1" applyBorder="1" applyAlignment="1" applyProtection="1">
      <alignment horizontal="right" vertical="top" wrapText="1"/>
      <protection hidden="1"/>
    </xf>
    <xf numFmtId="0" fontId="6" fillId="0" borderId="14" xfId="0" applyFont="1" applyBorder="1" applyAlignment="1" applyProtection="1">
      <alignment horizontal="right" vertical="top" wrapText="1"/>
      <protection hidden="1"/>
    </xf>
    <xf numFmtId="0" fontId="3" fillId="0" borderId="48" xfId="0" applyFont="1" applyBorder="1" applyAlignment="1" applyProtection="1">
      <alignment horizontal="right" vertical="top" wrapText="1"/>
      <protection hidden="1"/>
    </xf>
    <xf numFmtId="4" fontId="3" fillId="0" borderId="38" xfId="0" applyNumberFormat="1" applyFont="1" applyBorder="1" applyAlignment="1" applyProtection="1">
      <alignment horizontal="right" vertical="top"/>
      <protection hidden="1"/>
    </xf>
    <xf numFmtId="4" fontId="3" fillId="0" borderId="14" xfId="0" applyNumberFormat="1" applyFont="1" applyBorder="1" applyAlignment="1" applyProtection="1">
      <alignment horizontal="right" vertical="top"/>
      <protection hidden="1"/>
    </xf>
    <xf numFmtId="4" fontId="3" fillId="0" borderId="15" xfId="0" applyNumberFormat="1" applyFont="1" applyBorder="1" applyAlignment="1" applyProtection="1">
      <alignment horizontal="right" vertical="top" wrapText="1"/>
      <protection hidden="1"/>
    </xf>
    <xf numFmtId="4" fontId="6" fillId="0" borderId="15" xfId="0" applyNumberFormat="1" applyFont="1" applyBorder="1" applyAlignment="1" applyProtection="1">
      <alignment horizontal="right" vertical="top" wrapText="1"/>
      <protection hidden="1"/>
    </xf>
    <xf numFmtId="0" fontId="3" fillId="0" borderId="20" xfId="0" applyFont="1" applyBorder="1" applyAlignment="1" applyProtection="1">
      <alignment horizontal="right" vertical="top" wrapText="1"/>
      <protection hidden="1"/>
    </xf>
    <xf numFmtId="0" fontId="3" fillId="0" borderId="17" xfId="0" applyFont="1" applyBorder="1" applyAlignment="1" applyProtection="1">
      <alignment horizontal="right" vertical="top" wrapText="1"/>
      <protection hidden="1"/>
    </xf>
    <xf numFmtId="0" fontId="6" fillId="0" borderId="13" xfId="0" applyFont="1" applyBorder="1" applyAlignment="1" applyProtection="1">
      <alignment horizontal="right" vertical="top" wrapText="1"/>
      <protection hidden="1"/>
    </xf>
    <xf numFmtId="0" fontId="3" fillId="0" borderId="36" xfId="0" applyFont="1" applyBorder="1" applyAlignment="1" applyProtection="1">
      <alignment horizontal="right" vertical="top" wrapText="1"/>
      <protection hidden="1"/>
    </xf>
    <xf numFmtId="0" fontId="7" fillId="0" borderId="139" xfId="0" applyFont="1" applyBorder="1" applyAlignment="1" applyProtection="1">
      <alignment horizontal="left" vertical="top" wrapText="1" indent="1"/>
      <protection hidden="1"/>
    </xf>
    <xf numFmtId="0" fontId="3" fillId="0" borderId="128" xfId="0" applyFont="1" applyBorder="1" applyAlignment="1" applyProtection="1">
      <alignment horizontal="left" vertical="top" wrapText="1" indent="1"/>
      <protection hidden="1"/>
    </xf>
    <xf numFmtId="4" fontId="3" fillId="0" borderId="132" xfId="0" applyNumberFormat="1" applyFont="1" applyBorder="1" applyAlignment="1" applyProtection="1">
      <alignment horizontal="right" vertical="top"/>
      <protection hidden="1"/>
    </xf>
    <xf numFmtId="4" fontId="3" fillId="0" borderId="130" xfId="0" applyNumberFormat="1" applyFont="1" applyBorder="1" applyAlignment="1" applyProtection="1">
      <alignment horizontal="right" vertical="top"/>
      <protection hidden="1"/>
    </xf>
    <xf numFmtId="4" fontId="3" fillId="0" borderId="133" xfId="0" applyNumberFormat="1" applyFont="1" applyBorder="1" applyAlignment="1" applyProtection="1">
      <alignment horizontal="right" vertical="top" wrapText="1"/>
      <protection hidden="1"/>
    </xf>
    <xf numFmtId="4" fontId="6" fillId="0" borderId="133" xfId="0" applyNumberFormat="1" applyFont="1" applyBorder="1" applyAlignment="1" applyProtection="1">
      <alignment horizontal="right" vertical="top" wrapText="1"/>
      <protection hidden="1"/>
    </xf>
    <xf numFmtId="0" fontId="3" fillId="0" borderId="112" xfId="0" applyFont="1" applyBorder="1" applyAlignment="1" applyProtection="1">
      <alignment vertical="top"/>
      <protection hidden="1"/>
    </xf>
    <xf numFmtId="4" fontId="3" fillId="0" borderId="126" xfId="0" applyNumberFormat="1" applyFont="1" applyBorder="1" applyAlignment="1">
      <alignment horizontal="right" vertical="top" wrapText="1"/>
    </xf>
    <xf numFmtId="4" fontId="3" fillId="0" borderId="127" xfId="0" applyNumberFormat="1" applyFont="1" applyBorder="1" applyAlignment="1">
      <alignment horizontal="right" vertical="top" wrapText="1"/>
    </xf>
    <xf numFmtId="0" fontId="23" fillId="3" borderId="112" xfId="1" applyFont="1" applyFill="1" applyBorder="1" applyAlignment="1" applyProtection="1">
      <alignment horizontal="center" vertical="center"/>
      <protection hidden="1"/>
    </xf>
    <xf numFmtId="0" fontId="3" fillId="0" borderId="90" xfId="0" applyFont="1" applyFill="1" applyBorder="1" applyAlignment="1">
      <alignment horizontal="left" vertical="top" wrapText="1" indent="1"/>
    </xf>
    <xf numFmtId="0" fontId="3" fillId="0" borderId="91" xfId="0" applyFont="1" applyFill="1" applyBorder="1" applyAlignment="1">
      <alignment horizontal="left" vertical="top" wrapText="1" indent="1"/>
    </xf>
    <xf numFmtId="0" fontId="3" fillId="0" borderId="91" xfId="0" applyNumberFormat="1" applyFont="1" applyFill="1" applyBorder="1" applyAlignment="1">
      <alignment horizontal="left" vertical="center" wrapText="1" indent="1"/>
    </xf>
    <xf numFmtId="0" fontId="3" fillId="0" borderId="92" xfId="0" applyNumberFormat="1" applyFont="1" applyFill="1" applyBorder="1" applyAlignment="1">
      <alignment horizontal="left" vertical="center" wrapText="1" indent="1"/>
    </xf>
    <xf numFmtId="49" fontId="6" fillId="0" borderId="136" xfId="0" applyNumberFormat="1" applyFont="1" applyBorder="1" applyAlignment="1">
      <alignment horizontal="center" vertical="top" wrapText="1"/>
    </xf>
    <xf numFmtId="49" fontId="3" fillId="0" borderId="136" xfId="0" applyNumberFormat="1" applyFont="1" applyBorder="1" applyAlignment="1">
      <alignment horizontal="center" vertical="top" wrapText="1"/>
    </xf>
    <xf numFmtId="49" fontId="6" fillId="0" borderId="155" xfId="0" applyNumberFormat="1" applyFont="1" applyBorder="1" applyAlignment="1">
      <alignment horizontal="center" vertical="top" wrapText="1"/>
    </xf>
    <xf numFmtId="49" fontId="3" fillId="0" borderId="156" xfId="0" applyNumberFormat="1" applyFont="1" applyBorder="1" applyAlignment="1">
      <alignment horizontal="center" vertical="top" wrapText="1"/>
    </xf>
    <xf numFmtId="4" fontId="6" fillId="0" borderId="157" xfId="0" applyNumberFormat="1" applyFont="1" applyBorder="1" applyAlignment="1">
      <alignment horizontal="right" vertical="top"/>
    </xf>
    <xf numFmtId="4" fontId="3" fillId="0" borderId="158" xfId="0" applyNumberFormat="1" applyFont="1" applyBorder="1" applyAlignment="1">
      <alignment horizontal="right" vertical="top"/>
    </xf>
    <xf numFmtId="4" fontId="3" fillId="0" borderId="159" xfId="0" applyNumberFormat="1" applyFont="1" applyBorder="1" applyAlignment="1">
      <alignment horizontal="right" vertical="top"/>
    </xf>
    <xf numFmtId="4" fontId="3" fillId="0" borderId="160" xfId="0" applyNumberFormat="1" applyFont="1" applyBorder="1" applyAlignment="1">
      <alignment horizontal="right" vertical="top" wrapText="1"/>
    </xf>
    <xf numFmtId="4" fontId="3" fillId="0" borderId="161" xfId="0" applyNumberFormat="1" applyFont="1" applyBorder="1" applyAlignment="1">
      <alignment horizontal="right" vertical="top" wrapText="1"/>
    </xf>
    <xf numFmtId="4" fontId="6" fillId="0" borderId="157" xfId="0" applyNumberFormat="1" applyFont="1" applyBorder="1" applyAlignment="1">
      <alignment horizontal="right" vertical="top" wrapText="1"/>
    </xf>
    <xf numFmtId="0" fontId="24" fillId="0" borderId="162" xfId="0" applyFont="1" applyFill="1" applyBorder="1" applyAlignment="1">
      <alignment vertical="center" wrapText="1"/>
    </xf>
    <xf numFmtId="49" fontId="6" fillId="0" borderId="135" xfId="0" applyNumberFormat="1" applyFont="1" applyBorder="1" applyAlignment="1">
      <alignment horizontal="center" vertical="top" wrapText="1"/>
    </xf>
    <xf numFmtId="49" fontId="3" fillId="0" borderId="135" xfId="0" applyNumberFormat="1" applyFont="1" applyBorder="1" applyAlignment="1">
      <alignment horizontal="center" vertical="top" wrapText="1"/>
    </xf>
    <xf numFmtId="4" fontId="6" fillId="0" borderId="70" xfId="0" applyNumberFormat="1" applyFont="1" applyBorder="1" applyAlignment="1">
      <alignment horizontal="right" vertical="top"/>
    </xf>
    <xf numFmtId="4" fontId="3" fillId="0" borderId="141" xfId="0" applyNumberFormat="1" applyFont="1" applyBorder="1" applyAlignment="1">
      <alignment horizontal="right" vertical="top"/>
    </xf>
    <xf numFmtId="4" fontId="3" fillId="0" borderId="142" xfId="0" applyNumberFormat="1" applyFont="1" applyBorder="1" applyAlignment="1">
      <alignment horizontal="right" vertical="top"/>
    </xf>
    <xf numFmtId="4" fontId="3" fillId="0" borderId="163" xfId="0" applyNumberFormat="1" applyFont="1" applyBorder="1" applyAlignment="1">
      <alignment horizontal="right" vertical="top" wrapText="1"/>
    </xf>
    <xf numFmtId="4" fontId="3" fillId="0" borderId="105" xfId="0" applyNumberFormat="1" applyFont="1" applyBorder="1" applyAlignment="1">
      <alignment horizontal="right" vertical="top" wrapText="1"/>
    </xf>
    <xf numFmtId="4" fontId="6" fillId="0" borderId="70" xfId="0" applyNumberFormat="1" applyFont="1" applyBorder="1" applyAlignment="1">
      <alignment horizontal="right" vertical="top" wrapText="1"/>
    </xf>
    <xf numFmtId="0" fontId="24" fillId="0" borderId="90" xfId="0" applyFont="1" applyFill="1" applyBorder="1" applyAlignment="1">
      <alignment vertical="center" wrapText="1"/>
    </xf>
    <xf numFmtId="0" fontId="24" fillId="0" borderId="91" xfId="0" applyFont="1" applyFill="1" applyBorder="1" applyAlignment="1">
      <alignment vertical="center" wrapText="1"/>
    </xf>
    <xf numFmtId="0" fontId="24" fillId="0" borderId="92" xfId="0" applyFont="1" applyFill="1" applyBorder="1" applyAlignment="1">
      <alignment vertical="center" wrapText="1"/>
    </xf>
    <xf numFmtId="0" fontId="24" fillId="0" borderId="164" xfId="0" applyFont="1" applyFill="1" applyBorder="1" applyAlignment="1">
      <alignment vertical="center" wrapText="1"/>
    </xf>
    <xf numFmtId="0" fontId="24" fillId="0" borderId="165" xfId="0" applyFont="1" applyFill="1" applyBorder="1" applyAlignment="1">
      <alignment vertical="center" wrapText="1"/>
    </xf>
    <xf numFmtId="0" fontId="24" fillId="0" borderId="165" xfId="0" applyFont="1" applyFill="1" applyBorder="1" applyAlignment="1">
      <alignment horizontal="left" vertical="center" wrapText="1"/>
    </xf>
    <xf numFmtId="0" fontId="24" fillId="0" borderId="166" xfId="0" applyFont="1" applyFill="1" applyBorder="1" applyAlignment="1">
      <alignment vertical="center" wrapText="1"/>
    </xf>
    <xf numFmtId="0" fontId="12" fillId="0" borderId="57" xfId="0" applyFont="1" applyFill="1" applyBorder="1" applyAlignment="1">
      <alignment horizontal="left" vertical="top" wrapText="1"/>
    </xf>
    <xf numFmtId="0" fontId="3" fillId="0" borderId="55" xfId="0" applyFont="1" applyFill="1" applyBorder="1" applyAlignment="1">
      <alignment horizontal="left" vertical="top" wrapText="1"/>
    </xf>
    <xf numFmtId="0" fontId="3" fillId="0" borderId="56" xfId="0" applyFont="1" applyFill="1" applyBorder="1" applyAlignment="1">
      <alignment horizontal="left" vertical="top" wrapText="1"/>
    </xf>
    <xf numFmtId="0" fontId="25" fillId="0" borderId="0" xfId="0" applyFont="1" applyBorder="1"/>
    <xf numFmtId="0" fontId="6" fillId="0" borderId="117" xfId="0" applyFont="1" applyBorder="1"/>
    <xf numFmtId="0" fontId="3" fillId="0" borderId="117" xfId="0" applyFont="1" applyBorder="1" applyAlignment="1"/>
    <xf numFmtId="0" fontId="3" fillId="0" borderId="117" xfId="0" applyFont="1" applyBorder="1"/>
    <xf numFmtId="0" fontId="25" fillId="0" borderId="0" xfId="0" applyFont="1" applyBorder="1" applyAlignment="1">
      <alignment horizontal="center" vertical="center"/>
    </xf>
    <xf numFmtId="0" fontId="6" fillId="0" borderId="0" xfId="0" applyFont="1" applyBorder="1"/>
    <xf numFmtId="0" fontId="25" fillId="0" borderId="0" xfId="0" applyFont="1" applyBorder="1" applyAlignment="1">
      <alignment horizontal="right" vertical="center"/>
    </xf>
    <xf numFmtId="0" fontId="26" fillId="0" borderId="114" xfId="1" applyFont="1" applyBorder="1" applyAlignment="1" applyProtection="1"/>
    <xf numFmtId="0" fontId="3" fillId="0" borderId="114" xfId="0" applyFont="1" applyBorder="1"/>
    <xf numFmtId="0" fontId="6" fillId="0" borderId="114" xfId="0" applyFont="1" applyBorder="1"/>
    <xf numFmtId="0" fontId="3" fillId="0" borderId="0" xfId="0" applyFont="1" applyAlignment="1">
      <alignment horizontal="right" vertical="top"/>
    </xf>
    <xf numFmtId="0" fontId="3" fillId="0" borderId="0" xfId="0" applyFont="1" applyBorder="1" applyAlignment="1">
      <alignment horizontal="right" vertical="top"/>
    </xf>
    <xf numFmtId="0" fontId="3" fillId="0" borderId="114" xfId="0" applyFont="1" applyBorder="1" applyAlignment="1">
      <alignment horizontal="right" vertical="top"/>
    </xf>
    <xf numFmtId="0" fontId="3" fillId="0" borderId="0" xfId="0" applyFont="1" applyAlignment="1">
      <alignment vertical="top" wrapText="1"/>
    </xf>
    <xf numFmtId="0" fontId="26" fillId="0" borderId="0" xfId="1" applyFont="1" applyAlignment="1" applyProtection="1">
      <alignment horizontal="left" vertical="top" wrapText="1"/>
    </xf>
    <xf numFmtId="0" fontId="3" fillId="0" borderId="0" xfId="0" applyFont="1" applyAlignment="1">
      <alignment horizontal="left" vertical="top" wrapText="1"/>
    </xf>
    <xf numFmtId="49" fontId="6" fillId="0" borderId="117" xfId="0" applyNumberFormat="1" applyFont="1" applyBorder="1" applyAlignment="1" applyProtection="1">
      <alignment horizontal="right"/>
      <protection hidden="1"/>
    </xf>
    <xf numFmtId="0" fontId="3" fillId="0" borderId="0" xfId="0" applyFont="1" applyFill="1" applyAlignment="1">
      <alignment horizontal="left" vertical="top" indent="1"/>
    </xf>
    <xf numFmtId="0" fontId="3" fillId="0" borderId="0" xfId="0" applyFont="1" applyFill="1" applyAlignment="1">
      <alignment horizontal="center" vertical="center"/>
    </xf>
    <xf numFmtId="0" fontId="3" fillId="0" borderId="0" xfId="0" applyFont="1" applyFill="1" applyAlignment="1">
      <alignment horizontal="right"/>
    </xf>
    <xf numFmtId="0" fontId="3" fillId="0" borderId="0" xfId="0" applyFont="1" applyFill="1" applyBorder="1" applyAlignment="1">
      <alignment horizontal="right"/>
    </xf>
    <xf numFmtId="4" fontId="14" fillId="0" borderId="0" xfId="0" applyNumberFormat="1" applyFont="1" applyFill="1" applyAlignment="1">
      <alignment horizontal="right" vertical="top"/>
    </xf>
    <xf numFmtId="4" fontId="3" fillId="0" borderId="0" xfId="0" applyNumberFormat="1" applyFont="1" applyFill="1" applyAlignment="1">
      <alignment horizontal="right"/>
    </xf>
    <xf numFmtId="0" fontId="3" fillId="0" borderId="0" xfId="0" applyFont="1" applyFill="1"/>
    <xf numFmtId="0" fontId="3" fillId="0" borderId="102" xfId="0" applyFont="1" applyFill="1" applyBorder="1" applyAlignment="1">
      <alignment horizontal="left" vertical="center" wrapText="1" indent="1"/>
    </xf>
    <xf numFmtId="0" fontId="3" fillId="0" borderId="28" xfId="0" applyFont="1" applyFill="1" applyBorder="1" applyAlignment="1">
      <alignment horizontal="left" vertical="center" wrapText="1" indent="1"/>
    </xf>
    <xf numFmtId="4" fontId="3" fillId="0" borderId="125" xfId="0" applyNumberFormat="1" applyFont="1" applyBorder="1" applyAlignment="1">
      <alignment horizontal="right" vertical="center" wrapText="1"/>
    </xf>
    <xf numFmtId="4" fontId="3" fillId="0" borderId="126" xfId="0" applyNumberFormat="1" applyFont="1" applyBorder="1" applyAlignment="1">
      <alignment horizontal="right" vertical="center" wrapText="1"/>
    </xf>
    <xf numFmtId="4" fontId="3" fillId="0" borderId="127" xfId="0" applyNumberFormat="1" applyFont="1" applyBorder="1" applyAlignment="1">
      <alignment horizontal="right" vertical="center" wrapText="1"/>
    </xf>
    <xf numFmtId="49" fontId="3" fillId="0" borderId="75" xfId="0" applyNumberFormat="1" applyFont="1" applyBorder="1" applyAlignment="1">
      <alignment horizontal="center" vertical="center"/>
    </xf>
    <xf numFmtId="49" fontId="3" fillId="0" borderId="79" xfId="0" applyNumberFormat="1" applyFont="1" applyBorder="1" applyAlignment="1">
      <alignment horizontal="center" vertical="center"/>
    </xf>
    <xf numFmtId="49" fontId="3" fillId="0" borderId="89"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20" fillId="0" borderId="104" xfId="0" applyFont="1" applyBorder="1" applyAlignment="1">
      <alignment horizontal="center" vertical="top" wrapText="1"/>
    </xf>
    <xf numFmtId="0" fontId="0" fillId="0" borderId="0" xfId="0" applyBorder="1" applyAlignment="1">
      <alignment vertical="top" wrapText="1"/>
    </xf>
    <xf numFmtId="4" fontId="11" fillId="0" borderId="15" xfId="0" applyNumberFormat="1" applyFont="1" applyBorder="1" applyAlignment="1">
      <alignment horizontal="right" vertical="top" wrapText="1"/>
    </xf>
    <xf numFmtId="4" fontId="11" fillId="0" borderId="34" xfId="0" applyNumberFormat="1" applyFont="1" applyBorder="1" applyAlignment="1">
      <alignment horizontal="right" vertical="top" wrapText="1"/>
    </xf>
    <xf numFmtId="4" fontId="11" fillId="0" borderId="167" xfId="0" applyNumberFormat="1" applyFont="1" applyBorder="1" applyAlignment="1">
      <alignment horizontal="right" vertical="top"/>
    </xf>
    <xf numFmtId="4" fontId="11" fillId="0" borderId="168" xfId="0" applyNumberFormat="1" applyFont="1" applyBorder="1" applyAlignment="1">
      <alignment horizontal="right" vertical="top"/>
    </xf>
    <xf numFmtId="0" fontId="11" fillId="0" borderId="76" xfId="0" applyFont="1" applyBorder="1" applyAlignment="1">
      <alignment horizontal="left" vertical="top" wrapText="1" indent="1"/>
    </xf>
    <xf numFmtId="0" fontId="11" fillId="0" borderId="79" xfId="0" applyFont="1" applyBorder="1" applyAlignment="1">
      <alignment horizontal="left" vertical="top" wrapText="1" indent="1"/>
    </xf>
    <xf numFmtId="0" fontId="11" fillId="0" borderId="86" xfId="0" applyFont="1" applyBorder="1" applyAlignment="1">
      <alignment horizontal="left" vertical="top" wrapText="1" indent="1"/>
    </xf>
    <xf numFmtId="4" fontId="11" fillId="0" borderId="173" xfId="0" applyNumberFormat="1" applyFont="1" applyBorder="1" applyAlignment="1">
      <alignment horizontal="right" vertical="top"/>
    </xf>
    <xf numFmtId="4" fontId="11" fillId="0" borderId="174" xfId="0" applyNumberFormat="1" applyFont="1" applyBorder="1" applyAlignment="1">
      <alignment horizontal="right" vertical="top" wrapText="1"/>
    </xf>
    <xf numFmtId="0" fontId="11" fillId="0" borderId="175" xfId="0" applyFont="1" applyBorder="1" applyAlignment="1">
      <alignment horizontal="left" vertical="top" wrapText="1" indent="1"/>
    </xf>
    <xf numFmtId="4" fontId="11" fillId="0" borderId="176" xfId="0" applyNumberFormat="1" applyFont="1" applyBorder="1" applyAlignment="1">
      <alignment horizontal="right" vertical="top"/>
    </xf>
    <xf numFmtId="4" fontId="11" fillId="0" borderId="177" xfId="0" applyNumberFormat="1" applyFont="1" applyBorder="1" applyAlignment="1">
      <alignment horizontal="right" vertical="top" wrapText="1"/>
    </xf>
    <xf numFmtId="4" fontId="11" fillId="0" borderId="180" xfId="0" applyNumberFormat="1" applyFont="1" applyBorder="1" applyAlignment="1">
      <alignment horizontal="right" vertical="top"/>
    </xf>
    <xf numFmtId="4" fontId="11" fillId="0" borderId="153" xfId="0" applyNumberFormat="1" applyFont="1" applyBorder="1" applyAlignment="1">
      <alignment horizontal="right" vertical="top" wrapText="1"/>
    </xf>
    <xf numFmtId="4" fontId="11" fillId="0" borderId="183" xfId="0" applyNumberFormat="1" applyFont="1" applyBorder="1" applyAlignment="1">
      <alignment horizontal="right" vertical="top"/>
    </xf>
    <xf numFmtId="4" fontId="11" fillId="0" borderId="146" xfId="0" applyNumberFormat="1" applyFont="1" applyBorder="1" applyAlignment="1">
      <alignment horizontal="right" vertical="top" wrapText="1"/>
    </xf>
    <xf numFmtId="0" fontId="11" fillId="0" borderId="178" xfId="0" applyFont="1" applyBorder="1" applyAlignment="1">
      <alignment horizontal="left" vertical="top" wrapText="1" indent="1"/>
    </xf>
    <xf numFmtId="0" fontId="11" fillId="0" borderId="181" xfId="0" applyFont="1" applyBorder="1" applyAlignment="1">
      <alignment horizontal="left" vertical="top" wrapText="1" indent="1"/>
    </xf>
    <xf numFmtId="0" fontId="11" fillId="0" borderId="45" xfId="0" applyFont="1" applyBorder="1" applyAlignment="1">
      <alignment horizontal="center" vertical="top" wrapText="1"/>
    </xf>
    <xf numFmtId="0" fontId="11" fillId="0" borderId="121" xfId="0" applyFont="1" applyBorder="1" applyAlignment="1">
      <alignment horizontal="center" vertical="top" wrapText="1"/>
    </xf>
    <xf numFmtId="0" fontId="11" fillId="0" borderId="179" xfId="0" applyFont="1" applyBorder="1" applyAlignment="1">
      <alignment horizontal="center" vertical="top" wrapText="1"/>
    </xf>
    <xf numFmtId="0" fontId="11" fillId="0" borderId="170" xfId="0" applyFont="1" applyBorder="1" applyAlignment="1">
      <alignment horizontal="center" vertical="top" wrapText="1"/>
    </xf>
    <xf numFmtId="0" fontId="11" fillId="0" borderId="182" xfId="0" applyFont="1" applyBorder="1" applyAlignment="1">
      <alignment horizontal="center" vertical="top" wrapText="1"/>
    </xf>
    <xf numFmtId="0" fontId="11" fillId="0" borderId="172" xfId="0" applyFont="1" applyBorder="1" applyAlignment="1">
      <alignment horizontal="center" vertical="top" wrapText="1"/>
    </xf>
    <xf numFmtId="0" fontId="11" fillId="0" borderId="171" xfId="0" applyFont="1" applyBorder="1" applyAlignment="1">
      <alignment horizontal="center" vertical="top" wrapText="1"/>
    </xf>
    <xf numFmtId="0" fontId="11" fillId="0" borderId="77" xfId="0" applyFont="1" applyBorder="1" applyAlignment="1">
      <alignment horizontal="left" vertical="top" wrapText="1" indent="1"/>
    </xf>
    <xf numFmtId="0" fontId="11" fillId="0" borderId="44" xfId="0" applyFont="1" applyBorder="1" applyAlignment="1">
      <alignment horizontal="left" vertical="top" wrapText="1" indent="1"/>
    </xf>
    <xf numFmtId="0" fontId="11" fillId="0" borderId="122" xfId="0" applyFont="1" applyBorder="1" applyAlignment="1">
      <alignment horizontal="left" vertical="top" wrapText="1" indent="1"/>
    </xf>
    <xf numFmtId="0" fontId="7" fillId="0" borderId="102" xfId="2" applyFont="1" applyFill="1" applyBorder="1" applyAlignment="1">
      <alignment vertical="top" wrapText="1"/>
    </xf>
    <xf numFmtId="0" fontId="7" fillId="0" borderId="22" xfId="2" applyFont="1" applyFill="1" applyBorder="1" applyAlignment="1">
      <alignment vertical="top" wrapText="1"/>
    </xf>
    <xf numFmtId="0" fontId="7" fillId="0" borderId="28" xfId="2" applyFont="1" applyFill="1" applyBorder="1" applyAlignment="1">
      <alignment vertical="top" wrapText="1"/>
    </xf>
    <xf numFmtId="0" fontId="12" fillId="0" borderId="75" xfId="2" applyFont="1" applyFill="1" applyBorder="1" applyAlignment="1">
      <alignment vertical="top" wrapText="1"/>
    </xf>
    <xf numFmtId="0" fontId="12" fillId="0" borderId="76" xfId="2" applyFont="1" applyFill="1" applyBorder="1" applyAlignment="1">
      <alignment vertical="top" wrapText="1"/>
    </xf>
    <xf numFmtId="0" fontId="12" fillId="0" borderId="77" xfId="2" applyFont="1" applyFill="1" applyBorder="1" applyAlignment="1">
      <alignment vertical="top" wrapText="1"/>
    </xf>
    <xf numFmtId="0" fontId="7" fillId="0" borderId="169" xfId="2" applyFont="1" applyFill="1" applyBorder="1" applyAlignment="1">
      <alignment horizontal="center" vertical="center" wrapText="1"/>
    </xf>
    <xf numFmtId="0" fontId="7" fillId="0" borderId="170" xfId="2" applyFont="1" applyFill="1" applyBorder="1" applyAlignment="1">
      <alignment horizontal="center" vertical="center" wrapText="1"/>
    </xf>
    <xf numFmtId="0" fontId="7" fillId="0" borderId="171" xfId="2" applyFont="1" applyFill="1" applyBorder="1" applyAlignment="1">
      <alignment horizontal="center" vertical="center" wrapText="1"/>
    </xf>
    <xf numFmtId="0" fontId="7" fillId="0" borderId="75" xfId="2" applyFont="1" applyFill="1" applyBorder="1" applyAlignment="1">
      <alignment vertical="top" wrapText="1"/>
    </xf>
    <xf numFmtId="0" fontId="7" fillId="0" borderId="76" xfId="2" applyFont="1" applyFill="1" applyBorder="1" applyAlignment="1">
      <alignment vertical="top" wrapText="1"/>
    </xf>
    <xf numFmtId="0" fontId="7" fillId="0" borderId="77" xfId="2" applyFont="1" applyFill="1" applyBorder="1" applyAlignment="1">
      <alignment vertical="top" wrapText="1"/>
    </xf>
    <xf numFmtId="0" fontId="28" fillId="0" borderId="122" xfId="0" applyFont="1" applyFill="1" applyBorder="1" applyAlignment="1">
      <alignment vertical="top" wrapText="1"/>
    </xf>
    <xf numFmtId="0" fontId="29" fillId="0" borderId="147" xfId="0" applyFont="1" applyFill="1" applyBorder="1" applyAlignment="1">
      <alignment vertical="top" wrapText="1"/>
    </xf>
    <xf numFmtId="0" fontId="28" fillId="0" borderId="147" xfId="0" applyFont="1" applyFill="1" applyBorder="1" applyAlignment="1">
      <alignment vertical="top" wrapText="1"/>
    </xf>
    <xf numFmtId="0" fontId="3" fillId="0" borderId="112" xfId="0" applyFont="1" applyBorder="1" applyAlignment="1" applyProtection="1">
      <alignment horizontal="center" vertical="center"/>
      <protection hidden="1"/>
    </xf>
    <xf numFmtId="4" fontId="11" fillId="0" borderId="125" xfId="0" applyNumberFormat="1" applyFont="1" applyBorder="1" applyAlignment="1">
      <alignment horizontal="right" vertical="top" wrapText="1"/>
    </xf>
    <xf numFmtId="4" fontId="11" fillId="0" borderId="126" xfId="0" applyNumberFormat="1" applyFont="1" applyBorder="1" applyAlignment="1">
      <alignment horizontal="right" vertical="top" wrapText="1"/>
    </xf>
    <xf numFmtId="0" fontId="28" fillId="0" borderId="102" xfId="0" applyFont="1" applyFill="1" applyBorder="1" applyAlignment="1">
      <alignment vertical="top" wrapText="1"/>
    </xf>
    <xf numFmtId="0" fontId="28" fillId="0" borderId="22" xfId="0" applyFont="1" applyFill="1" applyBorder="1" applyAlignment="1">
      <alignment vertical="top" wrapText="1"/>
    </xf>
    <xf numFmtId="0" fontId="29" fillId="0" borderId="22" xfId="0" applyFont="1" applyFill="1" applyBorder="1" applyAlignment="1">
      <alignment vertical="top" wrapText="1"/>
    </xf>
    <xf numFmtId="4" fontId="11" fillId="0" borderId="186" xfId="0" applyNumberFormat="1" applyFont="1" applyBorder="1" applyAlignment="1">
      <alignment horizontal="right" vertical="top"/>
    </xf>
    <xf numFmtId="4" fontId="11" fillId="0" borderId="187" xfId="0" applyNumberFormat="1" applyFont="1" applyBorder="1" applyAlignment="1">
      <alignment horizontal="right" vertical="top"/>
    </xf>
    <xf numFmtId="0" fontId="28" fillId="0" borderId="102"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8" fillId="0" borderId="139" xfId="0" applyFont="1" applyFill="1" applyBorder="1" applyAlignment="1">
      <alignment vertical="top" wrapText="1"/>
    </xf>
    <xf numFmtId="0" fontId="28" fillId="0" borderId="139" xfId="0" applyFont="1" applyFill="1" applyBorder="1" applyAlignment="1">
      <alignment horizontal="center" vertical="center" wrapText="1"/>
    </xf>
    <xf numFmtId="4" fontId="11" fillId="0" borderId="188" xfId="0" applyNumberFormat="1" applyFont="1" applyBorder="1" applyAlignment="1">
      <alignment horizontal="right" vertical="top"/>
    </xf>
    <xf numFmtId="4" fontId="11" fillId="0" borderId="133" xfId="0" applyNumberFormat="1" applyFont="1" applyBorder="1" applyAlignment="1">
      <alignment horizontal="right" vertical="top" wrapText="1"/>
    </xf>
    <xf numFmtId="0" fontId="28" fillId="0" borderId="122" xfId="0" applyFont="1" applyFill="1" applyBorder="1" applyAlignment="1">
      <alignment horizontal="center" vertical="center" wrapText="1"/>
    </xf>
    <xf numFmtId="0" fontId="28" fillId="0" borderId="147" xfId="0" applyFont="1" applyFill="1" applyBorder="1" applyAlignment="1">
      <alignment horizontal="center" vertical="center" wrapText="1"/>
    </xf>
    <xf numFmtId="0" fontId="29" fillId="0" borderId="147" xfId="0" applyFont="1" applyFill="1" applyBorder="1" applyAlignment="1">
      <alignment horizontal="center" vertical="center" wrapText="1"/>
    </xf>
    <xf numFmtId="0" fontId="29" fillId="0" borderId="111" xfId="0" applyFont="1" applyFill="1" applyBorder="1" applyAlignment="1">
      <alignment vertical="top" wrapText="1"/>
    </xf>
    <xf numFmtId="0" fontId="29" fillId="0" borderId="111" xfId="0" applyFont="1" applyFill="1" applyBorder="1" applyAlignment="1">
      <alignment horizontal="center" vertical="center" wrapText="1"/>
    </xf>
    <xf numFmtId="0" fontId="29" fillId="0" borderId="139" xfId="0" applyFont="1" applyFill="1" applyBorder="1" applyAlignment="1">
      <alignment vertical="top" wrapText="1"/>
    </xf>
    <xf numFmtId="0" fontId="29" fillId="0" borderId="139" xfId="0" applyFont="1" applyFill="1" applyBorder="1" applyAlignment="1">
      <alignment horizontal="center" vertical="center" wrapText="1"/>
    </xf>
    <xf numFmtId="0" fontId="4" fillId="0" borderId="0" xfId="1" applyAlignment="1" applyProtection="1"/>
    <xf numFmtId="0" fontId="0" fillId="0" borderId="0" xfId="0" applyAlignment="1">
      <alignment vertical="top" wrapText="1"/>
    </xf>
    <xf numFmtId="0" fontId="3" fillId="2" borderId="0" xfId="0" applyFont="1" applyFill="1" applyAlignment="1" applyProtection="1">
      <alignment wrapText="1"/>
      <protection hidden="1"/>
    </xf>
    <xf numFmtId="0" fontId="3" fillId="0" borderId="0" xfId="0" applyFont="1" applyAlignment="1" applyProtection="1">
      <alignment wrapText="1"/>
      <protection hidden="1"/>
    </xf>
    <xf numFmtId="0" fontId="7" fillId="0" borderId="99" xfId="0" applyFont="1" applyBorder="1" applyAlignment="1" applyProtection="1">
      <alignment horizontal="left" vertical="top" wrapText="1" indent="1"/>
      <protection hidden="1"/>
    </xf>
    <xf numFmtId="0" fontId="3" fillId="0" borderId="189" xfId="0" applyFont="1" applyBorder="1" applyAlignment="1" applyProtection="1">
      <alignment horizontal="left" vertical="top" wrapText="1" indent="1"/>
      <protection hidden="1"/>
    </xf>
    <xf numFmtId="0" fontId="3" fillId="0" borderId="69" xfId="0" applyFont="1" applyBorder="1" applyAlignment="1" applyProtection="1">
      <alignment horizontal="right" vertical="top" wrapText="1"/>
      <protection hidden="1"/>
    </xf>
    <xf numFmtId="0" fontId="3" fillId="0" borderId="189" xfId="0" applyFont="1" applyBorder="1" applyAlignment="1" applyProtection="1">
      <alignment horizontal="right" vertical="top" wrapText="1"/>
      <protection hidden="1"/>
    </xf>
    <xf numFmtId="0" fontId="6" fillId="0" borderId="96" xfId="0" applyFont="1" applyBorder="1" applyAlignment="1" applyProtection="1">
      <alignment horizontal="right" vertical="top" wrapText="1"/>
      <protection hidden="1"/>
    </xf>
    <xf numFmtId="0" fontId="3" fillId="0" borderId="97" xfId="0" applyFont="1" applyBorder="1" applyAlignment="1" applyProtection="1">
      <alignment horizontal="right" vertical="top" wrapText="1"/>
      <protection hidden="1"/>
    </xf>
    <xf numFmtId="4" fontId="3" fillId="0" borderId="95" xfId="0" applyNumberFormat="1" applyFont="1" applyBorder="1" applyAlignment="1" applyProtection="1">
      <alignment horizontal="right" vertical="top"/>
      <protection hidden="1"/>
    </xf>
    <xf numFmtId="4" fontId="3" fillId="0" borderId="96" xfId="0" applyNumberFormat="1" applyFont="1" applyBorder="1" applyAlignment="1" applyProtection="1">
      <alignment horizontal="right" vertical="top"/>
      <protection hidden="1"/>
    </xf>
    <xf numFmtId="4" fontId="3" fillId="0" borderId="190" xfId="0" applyNumberFormat="1" applyFont="1" applyBorder="1" applyAlignment="1" applyProtection="1">
      <alignment horizontal="right" vertical="top" wrapText="1"/>
      <protection hidden="1"/>
    </xf>
    <xf numFmtId="4" fontId="6" fillId="0" borderId="190" xfId="0" applyNumberFormat="1" applyFont="1" applyBorder="1" applyAlignment="1" applyProtection="1">
      <alignment horizontal="right" vertical="top" wrapText="1"/>
      <protection hidden="1"/>
    </xf>
    <xf numFmtId="0" fontId="7" fillId="0" borderId="40" xfId="0" applyFont="1" applyBorder="1" applyAlignment="1" applyProtection="1">
      <alignment horizontal="left" vertical="top" wrapText="1"/>
      <protection hidden="1"/>
    </xf>
    <xf numFmtId="0" fontId="3" fillId="0" borderId="41" xfId="0" applyFont="1" applyBorder="1" applyAlignment="1" applyProtection="1">
      <alignment horizontal="left" wrapText="1"/>
      <protection hidden="1"/>
    </xf>
    <xf numFmtId="0" fontId="3" fillId="0" borderId="42" xfId="0" applyFont="1" applyBorder="1" applyAlignment="1" applyProtection="1">
      <alignment horizontal="right" vertical="top" wrapText="1"/>
      <protection hidden="1"/>
    </xf>
    <xf numFmtId="0" fontId="3" fillId="0" borderId="191" xfId="0" applyFont="1" applyBorder="1" applyAlignment="1" applyProtection="1">
      <alignment horizontal="right" vertical="top" wrapText="1"/>
      <protection hidden="1"/>
    </xf>
    <xf numFmtId="0" fontId="6" fillId="0" borderId="192" xfId="0" applyFont="1" applyBorder="1" applyAlignment="1" applyProtection="1">
      <alignment horizontal="right" vertical="top" wrapText="1"/>
      <protection hidden="1"/>
    </xf>
    <xf numFmtId="0" fontId="3" fillId="0" borderId="193" xfId="0" applyFont="1" applyBorder="1" applyAlignment="1" applyProtection="1">
      <alignment horizontal="right" vertical="top" wrapText="1"/>
      <protection hidden="1"/>
    </xf>
    <xf numFmtId="4" fontId="3" fillId="0" borderId="194" xfId="0" applyNumberFormat="1" applyFont="1" applyBorder="1" applyAlignment="1" applyProtection="1">
      <alignment horizontal="right" vertical="top"/>
      <protection hidden="1"/>
    </xf>
    <xf numFmtId="4" fontId="3" fillId="0" borderId="192" xfId="0" applyNumberFormat="1" applyFont="1" applyBorder="1" applyAlignment="1" applyProtection="1">
      <alignment horizontal="right" vertical="top"/>
      <protection hidden="1"/>
    </xf>
    <xf numFmtId="4" fontId="3" fillId="0" borderId="195" xfId="0" applyNumberFormat="1" applyFont="1" applyBorder="1" applyAlignment="1" applyProtection="1">
      <alignment horizontal="right" vertical="top" wrapText="1"/>
      <protection hidden="1"/>
    </xf>
    <xf numFmtId="4" fontId="6" fillId="0" borderId="195" xfId="0" applyNumberFormat="1" applyFont="1" applyBorder="1" applyAlignment="1" applyProtection="1">
      <alignment horizontal="right" vertical="top" wrapText="1"/>
      <protection hidden="1"/>
    </xf>
    <xf numFmtId="0" fontId="3" fillId="0" borderId="104" xfId="0" applyFont="1" applyBorder="1" applyAlignment="1" applyProtection="1">
      <alignment horizontal="left" wrapText="1"/>
      <protection hidden="1"/>
    </xf>
    <xf numFmtId="164" fontId="31" fillId="4" borderId="119" xfId="3" applyNumberFormat="1" applyFont="1" applyFill="1" applyBorder="1" applyAlignment="1">
      <alignment horizontal="center"/>
    </xf>
    <xf numFmtId="164" fontId="31" fillId="4" borderId="121" xfId="3" applyNumberFormat="1" applyFont="1" applyFill="1" applyBorder="1" applyAlignment="1">
      <alignment horizontal="center"/>
    </xf>
    <xf numFmtId="0" fontId="0" fillId="0" borderId="120" xfId="0" applyBorder="1" applyAlignment="1">
      <alignment horizontal="center"/>
    </xf>
    <xf numFmtId="0" fontId="32" fillId="4" borderId="9" xfId="0" applyFont="1" applyFill="1" applyBorder="1" applyAlignment="1">
      <alignment horizontal="center" vertical="center" wrapText="1"/>
    </xf>
    <xf numFmtId="0" fontId="32" fillId="4" borderId="35" xfId="0" applyFont="1" applyFill="1" applyBorder="1" applyAlignment="1">
      <alignment horizontal="center" vertical="center"/>
    </xf>
    <xf numFmtId="0" fontId="32" fillId="4" borderId="114" xfId="0" applyFont="1" applyFill="1" applyBorder="1" applyAlignment="1">
      <alignment horizontal="center" vertical="center"/>
    </xf>
    <xf numFmtId="0" fontId="0" fillId="0" borderId="115" xfId="0" applyBorder="1" applyAlignment="1">
      <alignment horizontal="center" vertical="center"/>
    </xf>
    <xf numFmtId="0" fontId="32" fillId="4" borderId="1" xfId="0" applyFont="1" applyFill="1" applyBorder="1" applyAlignment="1">
      <alignment horizontal="center" vertical="center" wrapText="1"/>
    </xf>
    <xf numFmtId="0" fontId="32" fillId="4" borderId="1" xfId="0" applyFont="1" applyFill="1" applyBorder="1" applyAlignment="1">
      <alignment horizontal="center" vertical="center"/>
    </xf>
    <xf numFmtId="0" fontId="32" fillId="4" borderId="115" xfId="0" applyFont="1" applyFill="1" applyBorder="1" applyAlignment="1">
      <alignment horizontal="center" vertical="center"/>
    </xf>
    <xf numFmtId="0" fontId="33" fillId="5" borderId="0" xfId="0" applyFont="1" applyFill="1"/>
    <xf numFmtId="0" fontId="0" fillId="5" borderId="0" xfId="0" applyFill="1"/>
    <xf numFmtId="0" fontId="34" fillId="5" borderId="1" xfId="0" applyFont="1" applyFill="1" applyBorder="1"/>
    <xf numFmtId="0" fontId="34" fillId="5" borderId="1" xfId="0" applyFont="1" applyFill="1" applyBorder="1" applyAlignment="1">
      <alignment horizontal="center"/>
    </xf>
    <xf numFmtId="0" fontId="35" fillId="5" borderId="1" xfId="0" applyNumberFormat="1" applyFont="1" applyFill="1" applyBorder="1" applyAlignment="1">
      <alignment horizontal="center"/>
    </xf>
    <xf numFmtId="2" fontId="36" fillId="0" borderId="1" xfId="0" applyNumberFormat="1" applyFont="1" applyFill="1" applyBorder="1" applyAlignment="1">
      <alignment horizontal="center"/>
    </xf>
    <xf numFmtId="2" fontId="36" fillId="6" borderId="1" xfId="0" applyNumberFormat="1" applyFont="1" applyFill="1" applyBorder="1" applyAlignment="1">
      <alignment horizontal="center"/>
    </xf>
    <xf numFmtId="2" fontId="36" fillId="5" borderId="1" xfId="0" applyNumberFormat="1" applyFont="1" applyFill="1" applyBorder="1" applyAlignment="1">
      <alignment horizontal="center"/>
    </xf>
    <xf numFmtId="0" fontId="33" fillId="5" borderId="0" xfId="0" applyFont="1" applyFill="1" applyBorder="1"/>
    <xf numFmtId="0" fontId="33" fillId="5" borderId="0" xfId="0" applyFont="1" applyFill="1" applyBorder="1" applyAlignment="1">
      <alignment horizontal="center"/>
    </xf>
    <xf numFmtId="0" fontId="33" fillId="5" borderId="0" xfId="0" applyNumberFormat="1" applyFont="1" applyFill="1" applyBorder="1" applyAlignment="1">
      <alignment horizontal="center"/>
    </xf>
    <xf numFmtId="0" fontId="33" fillId="5" borderId="0" xfId="0" applyNumberFormat="1" applyFont="1" applyFill="1" applyBorder="1" applyAlignment="1">
      <alignment horizontal="center" wrapText="1"/>
    </xf>
    <xf numFmtId="164" fontId="31" fillId="4" borderId="1" xfId="3" applyNumberFormat="1" applyFont="1" applyFill="1" applyBorder="1" applyAlignment="1">
      <alignment horizontal="center" wrapText="1"/>
    </xf>
    <xf numFmtId="164" fontId="31" fillId="5" borderId="0" xfId="3" applyNumberFormat="1" applyFont="1" applyFill="1" applyBorder="1" applyAlignment="1">
      <alignment horizontal="center" wrapText="1"/>
    </xf>
    <xf numFmtId="0" fontId="32" fillId="4" borderId="35" xfId="0" applyFont="1" applyFill="1" applyBorder="1" applyAlignment="1">
      <alignment horizontal="center" vertical="center" wrapText="1"/>
    </xf>
    <xf numFmtId="0" fontId="0" fillId="0" borderId="114" xfId="0" applyBorder="1" applyAlignment="1">
      <alignment horizontal="center" vertical="center" wrapText="1"/>
    </xf>
    <xf numFmtId="0" fontId="0" fillId="0" borderId="115" xfId="0" applyBorder="1" applyAlignment="1">
      <alignment horizontal="center" vertical="center" wrapText="1"/>
    </xf>
    <xf numFmtId="0" fontId="0" fillId="5" borderId="0" xfId="0" applyFill="1" applyBorder="1" applyAlignment="1">
      <alignment horizontal="center" vertical="center" wrapText="1"/>
    </xf>
    <xf numFmtId="0" fontId="0" fillId="0" borderId="27" xfId="0" applyBorder="1" applyAlignment="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32" fillId="4" borderId="69" xfId="0" applyFont="1" applyFill="1" applyBorder="1" applyAlignment="1">
      <alignment horizontal="center" vertical="center" wrapText="1"/>
    </xf>
    <xf numFmtId="0" fontId="32" fillId="4" borderId="119" xfId="0" applyFont="1" applyFill="1" applyBorder="1" applyAlignment="1">
      <alignment horizontal="center" vertical="center" wrapText="1"/>
    </xf>
    <xf numFmtId="0" fontId="32" fillId="4" borderId="121" xfId="0" applyFont="1" applyFill="1" applyBorder="1" applyAlignment="1">
      <alignment horizontal="center" vertical="center" wrapText="1"/>
    </xf>
    <xf numFmtId="0" fontId="32" fillId="4" borderId="120" xfId="0" applyFont="1" applyFill="1" applyBorder="1" applyAlignment="1">
      <alignment horizontal="center" vertical="center" wrapText="1"/>
    </xf>
    <xf numFmtId="0" fontId="32" fillId="4"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4" fillId="0" borderId="1" xfId="0" applyFont="1" applyFill="1" applyBorder="1" applyAlignment="1">
      <alignment horizontal="left" wrapText="1"/>
    </xf>
    <xf numFmtId="0" fontId="34" fillId="0" borderId="1" xfId="0" applyFont="1" applyFill="1" applyBorder="1" applyAlignment="1">
      <alignment horizontal="center"/>
    </xf>
    <xf numFmtId="3" fontId="34" fillId="0" borderId="1" xfId="0" applyNumberFormat="1" applyFont="1" applyFill="1" applyBorder="1" applyAlignment="1">
      <alignment horizontal="center"/>
    </xf>
    <xf numFmtId="2" fontId="36" fillId="0" borderId="119" xfId="0" applyNumberFormat="1" applyFont="1" applyFill="1" applyBorder="1" applyAlignment="1">
      <alignment horizontal="center"/>
    </xf>
    <xf numFmtId="2" fontId="36" fillId="0" borderId="121" xfId="0" applyNumberFormat="1" applyFont="1" applyFill="1" applyBorder="1" applyAlignment="1">
      <alignment horizontal="center"/>
    </xf>
    <xf numFmtId="2" fontId="36" fillId="0" borderId="120" xfId="0" applyNumberFormat="1" applyFont="1" applyFill="1" applyBorder="1" applyAlignment="1">
      <alignment horizontal="center"/>
    </xf>
    <xf numFmtId="0" fontId="0" fillId="0" borderId="121" xfId="0" applyBorder="1" applyAlignment="1">
      <alignment horizontal="center"/>
    </xf>
    <xf numFmtId="2" fontId="36" fillId="5" borderId="0" xfId="0" applyNumberFormat="1" applyFont="1" applyFill="1" applyBorder="1" applyAlignment="1">
      <alignment horizontal="center"/>
    </xf>
    <xf numFmtId="2" fontId="36" fillId="0" borderId="69" xfId="0" applyNumberFormat="1" applyFont="1" applyFill="1" applyBorder="1" applyAlignment="1">
      <alignment horizontal="center"/>
    </xf>
    <xf numFmtId="2" fontId="36" fillId="0" borderId="0" xfId="0" applyNumberFormat="1" applyFont="1" applyFill="1" applyBorder="1" applyAlignment="1">
      <alignment horizontal="center"/>
    </xf>
    <xf numFmtId="2" fontId="36" fillId="0" borderId="116" xfId="0" applyNumberFormat="1" applyFont="1" applyFill="1" applyBorder="1" applyAlignment="1">
      <alignment horizontal="center"/>
    </xf>
    <xf numFmtId="0" fontId="34" fillId="0" borderId="1" xfId="0" applyFont="1" applyFill="1" applyBorder="1" applyAlignment="1"/>
    <xf numFmtId="2" fontId="36" fillId="6" borderId="119" xfId="0" applyNumberFormat="1" applyFont="1" applyFill="1" applyBorder="1" applyAlignment="1">
      <alignment horizontal="center"/>
    </xf>
    <xf numFmtId="2" fontId="36" fillId="6" borderId="121" xfId="0" applyNumberFormat="1" applyFont="1" applyFill="1" applyBorder="1" applyAlignment="1">
      <alignment horizontal="center"/>
    </xf>
    <xf numFmtId="2" fontId="36" fillId="6" borderId="120" xfId="0" applyNumberFormat="1" applyFont="1" applyFill="1" applyBorder="1" applyAlignment="1">
      <alignment horizontal="center"/>
    </xf>
    <xf numFmtId="0" fontId="34" fillId="0" borderId="1" xfId="0" applyFont="1" applyFill="1" applyBorder="1"/>
    <xf numFmtId="0" fontId="36" fillId="0" borderId="119" xfId="0" applyFont="1" applyBorder="1" applyAlignment="1">
      <alignment horizontal="center"/>
    </xf>
    <xf numFmtId="0" fontId="36" fillId="0" borderId="121" xfId="0" applyFont="1" applyBorder="1" applyAlignment="1">
      <alignment horizontal="center"/>
    </xf>
    <xf numFmtId="0" fontId="36" fillId="0" borderId="120" xfId="0" applyFont="1" applyBorder="1" applyAlignment="1">
      <alignment horizontal="center"/>
    </xf>
    <xf numFmtId="2" fontId="36" fillId="0" borderId="117" xfId="0" applyNumberFormat="1" applyFont="1" applyFill="1" applyBorder="1" applyAlignment="1">
      <alignment horizontal="center"/>
    </xf>
    <xf numFmtId="2" fontId="36" fillId="0" borderId="118" xfId="0" applyNumberFormat="1" applyFont="1" applyFill="1" applyBorder="1" applyAlignment="1">
      <alignment horizontal="center"/>
    </xf>
    <xf numFmtId="2" fontId="33" fillId="5" borderId="0" xfId="0" applyNumberFormat="1" applyFont="1" applyFill="1" applyBorder="1" applyAlignment="1">
      <alignment horizontal="center"/>
    </xf>
    <xf numFmtId="0" fontId="31" fillId="4" borderId="1" xfId="0" applyFont="1" applyFill="1" applyBorder="1" applyAlignment="1">
      <alignment horizontal="center"/>
    </xf>
    <xf numFmtId="0" fontId="31" fillId="5" borderId="0" xfId="0" applyFont="1" applyFill="1" applyBorder="1" applyAlignment="1">
      <alignment horizontal="center"/>
    </xf>
    <xf numFmtId="165" fontId="32" fillId="4" borderId="1" xfId="0" applyNumberFormat="1" applyFont="1" applyFill="1" applyBorder="1" applyAlignment="1">
      <alignment horizontal="center" vertical="center"/>
    </xf>
    <xf numFmtId="0" fontId="32" fillId="4" borderId="120" xfId="0" applyFont="1" applyFill="1" applyBorder="1" applyAlignment="1">
      <alignment horizontal="center" vertical="center"/>
    </xf>
    <xf numFmtId="0" fontId="32" fillId="5" borderId="0"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wrapText="1"/>
    </xf>
    <xf numFmtId="0" fontId="34" fillId="0" borderId="1" xfId="0" applyNumberFormat="1" applyFont="1" applyFill="1" applyBorder="1" applyAlignment="1">
      <alignment horizontal="center"/>
    </xf>
    <xf numFmtId="2" fontId="32" fillId="6" borderId="118" xfId="0" applyNumberFormat="1" applyFont="1" applyFill="1" applyBorder="1" applyAlignment="1">
      <alignment horizontal="center"/>
    </xf>
    <xf numFmtId="4" fontId="3" fillId="0" borderId="1" xfId="0" applyNumberFormat="1" applyFont="1" applyBorder="1" applyAlignment="1">
      <alignment horizontal="right" vertical="center"/>
    </xf>
    <xf numFmtId="4" fontId="3" fillId="0" borderId="1" xfId="0" applyNumberFormat="1" applyFont="1" applyBorder="1" applyAlignment="1">
      <alignment horizontal="right" vertical="center" wrapText="1"/>
    </xf>
    <xf numFmtId="4" fontId="6" fillId="0" borderId="120" xfId="0" applyNumberFormat="1" applyFont="1" applyBorder="1" applyAlignment="1">
      <alignment horizontal="right" vertical="center"/>
    </xf>
    <xf numFmtId="4" fontId="3" fillId="0" borderId="175" xfId="0" applyNumberFormat="1" applyFont="1" applyBorder="1" applyAlignment="1">
      <alignment horizontal="center" vertical="center"/>
    </xf>
    <xf numFmtId="0" fontId="7" fillId="0" borderId="112" xfId="0" applyFont="1" applyFill="1" applyBorder="1" applyAlignment="1">
      <alignment vertical="center" wrapText="1"/>
    </xf>
    <xf numFmtId="4" fontId="3" fillId="0" borderId="3" xfId="0" applyNumberFormat="1" applyFont="1" applyBorder="1" applyAlignment="1">
      <alignment horizontal="right" vertical="center"/>
    </xf>
    <xf numFmtId="4" fontId="3" fillId="0" borderId="3" xfId="0" applyNumberFormat="1" applyFont="1" applyBorder="1" applyAlignment="1">
      <alignment horizontal="right" vertical="center" wrapText="1"/>
    </xf>
    <xf numFmtId="4" fontId="3" fillId="0" borderId="4" xfId="0" applyNumberFormat="1" applyFont="1" applyBorder="1" applyAlignment="1">
      <alignment horizontal="right" vertical="center" wrapText="1"/>
    </xf>
    <xf numFmtId="4" fontId="3" fillId="0" borderId="196" xfId="0" applyNumberFormat="1" applyFont="1" applyBorder="1" applyAlignment="1">
      <alignment horizontal="right" vertical="center" wrapText="1"/>
    </xf>
    <xf numFmtId="4" fontId="3" fillId="0" borderId="6" xfId="0" applyNumberFormat="1" applyFont="1" applyBorder="1" applyAlignment="1">
      <alignment horizontal="right" vertical="center"/>
    </xf>
    <xf numFmtId="4" fontId="3" fillId="0" borderId="6" xfId="0" applyNumberFormat="1" applyFont="1" applyBorder="1" applyAlignment="1">
      <alignment horizontal="right" vertical="center" wrapText="1"/>
    </xf>
    <xf numFmtId="4" fontId="3" fillId="0" borderId="7" xfId="0" applyNumberFormat="1" applyFont="1" applyBorder="1" applyAlignment="1">
      <alignment horizontal="right" vertical="center" wrapText="1"/>
    </xf>
    <xf numFmtId="0" fontId="3" fillId="0" borderId="44" xfId="0" applyFont="1" applyFill="1" applyBorder="1" applyAlignment="1">
      <alignment horizontal="left" vertical="center" wrapText="1" indent="1"/>
    </xf>
    <xf numFmtId="0" fontId="3" fillId="0" borderId="122" xfId="0" applyFont="1" applyFill="1" applyBorder="1" applyAlignment="1">
      <alignment horizontal="left" vertical="center" wrapText="1" indent="1"/>
    </xf>
    <xf numFmtId="0" fontId="3" fillId="0" borderId="123" xfId="0" applyFont="1" applyFill="1" applyBorder="1" applyAlignment="1">
      <alignment horizontal="left" vertical="center" wrapText="1" indent="1"/>
    </xf>
    <xf numFmtId="4" fontId="6" fillId="0" borderId="197" xfId="0" applyNumberFormat="1" applyFont="1" applyBorder="1" applyAlignment="1">
      <alignment horizontal="right" vertical="center"/>
    </xf>
    <xf numFmtId="4" fontId="6" fillId="0" borderId="11" xfId="0" applyNumberFormat="1" applyFont="1" applyBorder="1" applyAlignment="1">
      <alignment horizontal="right" vertical="center"/>
    </xf>
    <xf numFmtId="4" fontId="3" fillId="0" borderId="86" xfId="0" applyNumberFormat="1" applyFont="1" applyBorder="1" applyAlignment="1">
      <alignment horizontal="center" vertical="center"/>
    </xf>
    <xf numFmtId="4" fontId="3" fillId="0" borderId="185" xfId="0" applyNumberFormat="1" applyFont="1" applyBorder="1" applyAlignment="1">
      <alignment horizontal="center" vertical="center"/>
    </xf>
    <xf numFmtId="0" fontId="0" fillId="0" borderId="67" xfId="0" applyBorder="1"/>
    <xf numFmtId="0" fontId="0" fillId="0" borderId="1" xfId="0" applyBorder="1"/>
    <xf numFmtId="0" fontId="0" fillId="0" borderId="9" xfId="0" applyBorder="1"/>
    <xf numFmtId="0" fontId="0" fillId="0" borderId="103" xfId="0" applyBorder="1"/>
    <xf numFmtId="0" fontId="0" fillId="0" borderId="104" xfId="0" applyBorder="1"/>
    <xf numFmtId="0" fontId="0" fillId="0" borderId="105" xfId="0" applyBorder="1"/>
    <xf numFmtId="0" fontId="37" fillId="0" borderId="0" xfId="0" applyFont="1"/>
    <xf numFmtId="0" fontId="38" fillId="0" borderId="0" xfId="0" applyFont="1"/>
    <xf numFmtId="2" fontId="36" fillId="6" borderId="9" xfId="0" applyNumberFormat="1" applyFont="1" applyFill="1" applyBorder="1" applyAlignment="1">
      <alignment horizontal="center"/>
    </xf>
    <xf numFmtId="2" fontId="36" fillId="0" borderId="9" xfId="0" applyNumberFormat="1" applyFont="1" applyFill="1" applyBorder="1" applyAlignment="1">
      <alignment horizontal="center"/>
    </xf>
    <xf numFmtId="0" fontId="0" fillId="0" borderId="70" xfId="0" applyBorder="1" applyAlignment="1">
      <alignment horizontal="center"/>
    </xf>
    <xf numFmtId="0" fontId="0" fillId="6" borderId="66" xfId="0" applyFill="1" applyBorder="1"/>
    <xf numFmtId="0" fontId="32" fillId="6" borderId="67" xfId="0" applyFont="1" applyFill="1" applyBorder="1" applyAlignment="1">
      <alignment horizontal="center" vertical="center"/>
    </xf>
    <xf numFmtId="0" fontId="32" fillId="6" borderId="68" xfId="0" applyFont="1" applyFill="1" applyBorder="1" applyAlignment="1">
      <alignment horizontal="center" vertical="center"/>
    </xf>
    <xf numFmtId="0" fontId="39" fillId="0" borderId="0" xfId="0" applyFont="1" applyBorder="1" applyAlignment="1">
      <alignment horizontal="center" wrapText="1"/>
    </xf>
    <xf numFmtId="0" fontId="40" fillId="0" borderId="0" xfId="0" applyFont="1" applyAlignment="1"/>
    <xf numFmtId="0" fontId="40" fillId="0" borderId="70" xfId="0" applyFont="1" applyBorder="1" applyAlignment="1">
      <alignment horizontal="center" vertical="center" wrapText="1"/>
    </xf>
    <xf numFmtId="0" fontId="27" fillId="0" borderId="70" xfId="0" applyFont="1" applyBorder="1" applyAlignment="1">
      <alignment horizontal="center" vertical="center" wrapText="1"/>
    </xf>
    <xf numFmtId="0" fontId="40" fillId="0" borderId="67" xfId="0" applyFont="1" applyBorder="1" applyAlignment="1">
      <alignment horizontal="center" vertical="center"/>
    </xf>
    <xf numFmtId="3" fontId="43" fillId="0" borderId="1" xfId="0" applyNumberFormat="1" applyFont="1" applyBorder="1" applyAlignment="1">
      <alignment horizontal="center" vertical="center"/>
    </xf>
    <xf numFmtId="0" fontId="27" fillId="0" borderId="12" xfId="0" applyFont="1" applyBorder="1" applyAlignment="1">
      <alignment horizontal="center" vertical="center"/>
    </xf>
    <xf numFmtId="0" fontId="43" fillId="0" borderId="67" xfId="0" applyFont="1" applyBorder="1" applyAlignment="1">
      <alignment horizontal="center" vertical="center" wrapText="1"/>
    </xf>
    <xf numFmtId="2" fontId="39" fillId="0" borderId="0" xfId="0" applyNumberFormat="1" applyFont="1" applyBorder="1" applyAlignment="1">
      <alignment horizontal="center" wrapText="1"/>
    </xf>
    <xf numFmtId="2" fontId="41" fillId="0" borderId="0" xfId="0" applyNumberFormat="1" applyFont="1" applyBorder="1" applyAlignment="1">
      <alignment horizontal="center" vertical="center" wrapText="1"/>
    </xf>
    <xf numFmtId="2" fontId="27" fillId="0" borderId="70" xfId="0" applyNumberFormat="1" applyFont="1" applyBorder="1" applyAlignment="1">
      <alignment horizontal="center" vertical="center" wrapText="1"/>
    </xf>
    <xf numFmtId="0" fontId="40" fillId="0" borderId="66" xfId="0" applyFont="1" applyBorder="1" applyAlignment="1">
      <alignment horizontal="center" vertical="center"/>
    </xf>
    <xf numFmtId="0" fontId="43" fillId="0" borderId="1" xfId="0" applyFont="1" applyBorder="1" applyAlignment="1"/>
    <xf numFmtId="0" fontId="27" fillId="0" borderId="1" xfId="0" applyFont="1" applyBorder="1" applyAlignment="1">
      <alignment horizontal="center" vertical="center"/>
    </xf>
    <xf numFmtId="0" fontId="43" fillId="0" borderId="1" xfId="0" applyFont="1" applyBorder="1" applyAlignment="1">
      <alignment horizontal="center" vertical="center"/>
    </xf>
    <xf numFmtId="0" fontId="27" fillId="0" borderId="1" xfId="0" applyFont="1" applyBorder="1" applyAlignment="1">
      <alignment horizontal="left" vertical="center"/>
    </xf>
    <xf numFmtId="2" fontId="38" fillId="0" borderId="1" xfId="0" applyNumberFormat="1" applyFont="1" applyBorder="1" applyAlignment="1">
      <alignment horizontal="center"/>
    </xf>
    <xf numFmtId="2" fontId="0" fillId="0" borderId="0" xfId="0" applyNumberFormat="1" applyAlignment="1">
      <alignment horizontal="center"/>
    </xf>
    <xf numFmtId="4" fontId="43" fillId="0" borderId="117" xfId="0" applyNumberFormat="1" applyFont="1" applyBorder="1" applyAlignment="1">
      <alignment horizontal="center" vertical="center"/>
    </xf>
    <xf numFmtId="4" fontId="43" fillId="0" borderId="0" xfId="0" applyNumberFormat="1" applyFont="1" applyBorder="1" applyAlignment="1">
      <alignment horizontal="center" vertical="center"/>
    </xf>
    <xf numFmtId="2" fontId="44" fillId="0" borderId="0" xfId="0" applyNumberFormat="1" applyFont="1" applyBorder="1" applyAlignment="1">
      <alignment horizontal="center" vertical="center"/>
    </xf>
    <xf numFmtId="0" fontId="43" fillId="0" borderId="114" xfId="0" applyFont="1" applyBorder="1" applyAlignment="1">
      <alignment horizontal="center" vertical="center"/>
    </xf>
    <xf numFmtId="0" fontId="40" fillId="0" borderId="9" xfId="0" applyFont="1" applyBorder="1" applyAlignment="1">
      <alignment horizontal="center" vertical="center"/>
    </xf>
    <xf numFmtId="2" fontId="0" fillId="0" borderId="9" xfId="0" applyNumberFormat="1" applyBorder="1" applyAlignment="1">
      <alignment horizontal="center"/>
    </xf>
    <xf numFmtId="0" fontId="0" fillId="0" borderId="112" xfId="0" applyBorder="1"/>
    <xf numFmtId="0" fontId="43" fillId="0" borderId="12" xfId="0" applyFont="1" applyBorder="1" applyAlignment="1"/>
    <xf numFmtId="2" fontId="38" fillId="0" borderId="12" xfId="0" applyNumberFormat="1" applyFont="1" applyBorder="1" applyAlignment="1">
      <alignment horizontal="center"/>
    </xf>
    <xf numFmtId="0" fontId="43" fillId="0" borderId="9" xfId="0" applyFont="1" applyBorder="1" applyAlignment="1"/>
    <xf numFmtId="0" fontId="43" fillId="0" borderId="9" xfId="0" applyFont="1" applyBorder="1" applyAlignment="1">
      <alignment horizontal="center" vertical="center"/>
    </xf>
    <xf numFmtId="2" fontId="38" fillId="0" borderId="9" xfId="0" applyNumberFormat="1" applyFont="1" applyBorder="1" applyAlignment="1">
      <alignment horizontal="center"/>
    </xf>
    <xf numFmtId="0" fontId="43" fillId="0" borderId="12" xfId="0" applyFont="1" applyBorder="1" applyAlignment="1">
      <alignment horizontal="center" vertical="center"/>
    </xf>
    <xf numFmtId="2" fontId="38" fillId="0" borderId="67" xfId="0" applyNumberFormat="1" applyFont="1" applyBorder="1" applyAlignment="1">
      <alignment horizontal="center"/>
    </xf>
    <xf numFmtId="2" fontId="38" fillId="0" borderId="68" xfId="0" applyNumberFormat="1" applyFont="1" applyBorder="1" applyAlignment="1">
      <alignment horizontal="center"/>
    </xf>
    <xf numFmtId="0" fontId="27" fillId="0" borderId="9" xfId="0" applyFont="1" applyBorder="1" applyAlignment="1">
      <alignment horizontal="left" vertical="center"/>
    </xf>
    <xf numFmtId="2" fontId="44" fillId="0" borderId="117" xfId="0" applyNumberFormat="1" applyFont="1" applyBorder="1" applyAlignment="1">
      <alignment horizontal="center" vertical="center"/>
    </xf>
    <xf numFmtId="0" fontId="43" fillId="0" borderId="119" xfId="0" applyFont="1" applyBorder="1" applyAlignment="1"/>
    <xf numFmtId="2" fontId="38" fillId="0" borderId="120" xfId="0" applyNumberFormat="1" applyFont="1" applyBorder="1" applyAlignment="1">
      <alignment horizontal="center"/>
    </xf>
    <xf numFmtId="0" fontId="43" fillId="0" borderId="70" xfId="0" applyFont="1" applyBorder="1" applyAlignment="1">
      <alignment horizontal="center" vertical="center"/>
    </xf>
    <xf numFmtId="0" fontId="27" fillId="0" borderId="12" xfId="0" applyFont="1" applyBorder="1" applyAlignment="1">
      <alignment vertical="center"/>
    </xf>
    <xf numFmtId="0" fontId="43" fillId="0" borderId="66" xfId="0" applyFont="1" applyBorder="1" applyAlignment="1">
      <alignment horizontal="center" vertical="center" wrapText="1"/>
    </xf>
    <xf numFmtId="0" fontId="3" fillId="7" borderId="90" xfId="0" applyFont="1" applyFill="1" applyBorder="1" applyAlignment="1">
      <alignment horizontal="left" vertical="center" wrapText="1" indent="1"/>
    </xf>
    <xf numFmtId="4" fontId="3" fillId="7" borderId="102" xfId="0" applyNumberFormat="1" applyFont="1" applyFill="1" applyBorder="1" applyAlignment="1">
      <alignment horizontal="center" vertical="center"/>
    </xf>
    <xf numFmtId="4" fontId="3" fillId="7" borderId="81" xfId="0" applyNumberFormat="1" applyFont="1" applyFill="1" applyBorder="1" applyAlignment="1">
      <alignment horizontal="center" vertical="center"/>
    </xf>
    <xf numFmtId="4" fontId="3" fillId="7" borderId="60" xfId="0" applyNumberFormat="1" applyFont="1" applyFill="1" applyBorder="1" applyAlignment="1">
      <alignment horizontal="right" vertical="center" wrapText="1"/>
    </xf>
    <xf numFmtId="4" fontId="3" fillId="7" borderId="109" xfId="0" applyNumberFormat="1" applyFont="1" applyFill="1" applyBorder="1" applyAlignment="1">
      <alignment horizontal="right" vertical="center" wrapText="1"/>
    </xf>
    <xf numFmtId="0" fontId="3" fillId="7" borderId="91" xfId="0" applyFont="1" applyFill="1" applyBorder="1" applyAlignment="1">
      <alignment horizontal="left" vertical="center" wrapText="1" indent="1"/>
    </xf>
    <xf numFmtId="4" fontId="3" fillId="7" borderId="38" xfId="0" applyNumberFormat="1" applyFont="1" applyFill="1" applyBorder="1" applyAlignment="1">
      <alignment horizontal="center" vertical="center"/>
    </xf>
    <xf numFmtId="49" fontId="3" fillId="7" borderId="16" xfId="0" applyNumberFormat="1" applyFont="1" applyFill="1" applyBorder="1" applyAlignment="1">
      <alignment horizontal="center" vertical="center" wrapText="1"/>
    </xf>
    <xf numFmtId="4" fontId="3" fillId="7" borderId="13" xfId="0" applyNumberFormat="1" applyFont="1" applyFill="1" applyBorder="1" applyAlignment="1">
      <alignment horizontal="right" vertical="center" wrapText="1"/>
    </xf>
    <xf numFmtId="4" fontId="3" fillId="7" borderId="18" xfId="0" applyNumberFormat="1" applyFont="1" applyFill="1" applyBorder="1" applyAlignment="1">
      <alignment horizontal="right" vertical="center" wrapText="1"/>
    </xf>
    <xf numFmtId="0" fontId="3" fillId="7" borderId="94" xfId="0" applyFont="1" applyFill="1" applyBorder="1" applyAlignment="1">
      <alignment horizontal="left" vertical="center" wrapText="1" indent="1"/>
    </xf>
    <xf numFmtId="4" fontId="3" fillId="7" borderId="95" xfId="0" applyNumberFormat="1" applyFont="1" applyFill="1" applyBorder="1" applyAlignment="1">
      <alignment horizontal="center" vertical="center"/>
    </xf>
    <xf numFmtId="49" fontId="9" fillId="7" borderId="24" xfId="0" applyNumberFormat="1" applyFont="1" applyFill="1" applyBorder="1" applyAlignment="1">
      <alignment horizontal="center" vertical="center" wrapText="1"/>
    </xf>
    <xf numFmtId="4" fontId="3" fillId="7" borderId="26" xfId="0" applyNumberFormat="1" applyFont="1" applyFill="1" applyBorder="1" applyAlignment="1">
      <alignment horizontal="right" vertical="center" wrapText="1"/>
    </xf>
    <xf numFmtId="4" fontId="3" fillId="7" borderId="25" xfId="0" applyNumberFormat="1" applyFont="1" applyFill="1" applyBorder="1" applyAlignment="1">
      <alignment horizontal="right" vertical="center" wrapText="1"/>
    </xf>
    <xf numFmtId="0" fontId="7" fillId="7" borderId="66" xfId="0" applyFont="1" applyFill="1" applyBorder="1" applyAlignment="1">
      <alignment vertical="center"/>
    </xf>
    <xf numFmtId="0" fontId="7" fillId="7" borderId="67" xfId="0" applyFont="1" applyFill="1" applyBorder="1" applyAlignment="1">
      <alignment vertical="center" wrapText="1"/>
    </xf>
    <xf numFmtId="0" fontId="2" fillId="7" borderId="113" xfId="0" applyFont="1" applyFill="1" applyBorder="1" applyAlignment="1">
      <alignment vertical="top" wrapText="1"/>
    </xf>
    <xf numFmtId="49" fontId="3" fillId="7" borderId="135" xfId="0" applyNumberFormat="1" applyFont="1" applyFill="1" applyBorder="1" applyAlignment="1">
      <alignment horizontal="center" vertical="center" wrapText="1"/>
    </xf>
    <xf numFmtId="4" fontId="3" fillId="7" borderId="62" xfId="0" applyNumberFormat="1" applyFont="1" applyFill="1" applyBorder="1" applyAlignment="1">
      <alignment horizontal="center" vertical="center"/>
    </xf>
    <xf numFmtId="49" fontId="9" fillId="7" borderId="59" xfId="0" applyNumberFormat="1" applyFont="1" applyFill="1" applyBorder="1" applyAlignment="1">
      <alignment horizontal="center" vertical="center" wrapText="1"/>
    </xf>
    <xf numFmtId="49" fontId="3" fillId="7" borderId="17" xfId="0" applyNumberFormat="1" applyFont="1" applyFill="1" applyBorder="1" applyAlignment="1">
      <alignment horizontal="center" vertical="center" wrapText="1"/>
    </xf>
    <xf numFmtId="4" fontId="3" fillId="7" borderId="14" xfId="0" applyNumberFormat="1" applyFont="1" applyFill="1" applyBorder="1" applyAlignment="1">
      <alignment horizontal="right" vertical="center" wrapText="1"/>
    </xf>
    <xf numFmtId="4" fontId="3" fillId="7" borderId="47" xfId="0" applyNumberFormat="1" applyFont="1" applyFill="1" applyBorder="1" applyAlignment="1">
      <alignment horizontal="right" vertical="center" wrapText="1"/>
    </xf>
    <xf numFmtId="49" fontId="9" fillId="7" borderId="17" xfId="0" applyNumberFormat="1" applyFont="1" applyFill="1" applyBorder="1" applyAlignment="1">
      <alignment horizontal="center" vertical="center" wrapText="1"/>
    </xf>
    <xf numFmtId="0" fontId="3" fillId="7" borderId="92" xfId="0" applyFont="1" applyFill="1" applyBorder="1" applyAlignment="1">
      <alignment horizontal="left" vertical="center" wrapText="1" indent="1"/>
    </xf>
    <xf numFmtId="4" fontId="3" fillId="7" borderId="39" xfId="0" applyNumberFormat="1" applyFont="1" applyFill="1" applyBorder="1" applyAlignment="1">
      <alignment horizontal="center" vertical="center"/>
    </xf>
    <xf numFmtId="4" fontId="3" fillId="7" borderId="33" xfId="0" applyNumberFormat="1" applyFont="1" applyFill="1" applyBorder="1" applyAlignment="1">
      <alignment horizontal="right" vertical="center" wrapText="1"/>
    </xf>
    <xf numFmtId="4" fontId="3" fillId="7" borderId="137" xfId="0" applyNumberFormat="1" applyFont="1" applyFill="1" applyBorder="1" applyAlignment="1">
      <alignment horizontal="right" vertical="center" wrapText="1"/>
    </xf>
    <xf numFmtId="49" fontId="3" fillId="7" borderId="29" xfId="0" applyNumberFormat="1" applyFont="1" applyFill="1" applyBorder="1" applyAlignment="1">
      <alignment horizontal="center" vertical="center" wrapText="1"/>
    </xf>
    <xf numFmtId="4" fontId="14" fillId="0" borderId="101" xfId="0" applyNumberFormat="1" applyFont="1" applyBorder="1" applyAlignment="1">
      <alignment horizontal="right" vertical="center"/>
    </xf>
    <xf numFmtId="4" fontId="3" fillId="0" borderId="84" xfId="0" applyNumberFormat="1" applyFont="1" applyBorder="1" applyAlignment="1">
      <alignment horizontal="right" vertical="center"/>
    </xf>
    <xf numFmtId="4" fontId="14" fillId="0" borderId="99" xfId="0" applyNumberFormat="1" applyFont="1" applyBorder="1" applyAlignment="1">
      <alignment horizontal="right" vertical="center"/>
    </xf>
    <xf numFmtId="4" fontId="3" fillId="0" borderId="100" xfId="0" applyNumberFormat="1" applyFont="1" applyBorder="1" applyAlignment="1">
      <alignment horizontal="right" vertical="center"/>
    </xf>
    <xf numFmtId="4" fontId="14" fillId="0" borderId="111" xfId="0" applyNumberFormat="1" applyFont="1" applyBorder="1" applyAlignment="1">
      <alignment horizontal="right" vertical="center"/>
    </xf>
    <xf numFmtId="4" fontId="3" fillId="0" borderId="113" xfId="0" applyNumberFormat="1" applyFont="1" applyBorder="1" applyAlignment="1">
      <alignment horizontal="right" vertical="center"/>
    </xf>
    <xf numFmtId="0" fontId="0" fillId="8" borderId="87" xfId="0" applyFill="1" applyBorder="1" applyAlignment="1">
      <alignment horizontal="center" vertical="center" wrapText="1"/>
    </xf>
    <xf numFmtId="0" fontId="0" fillId="0" borderId="2" xfId="0" applyBorder="1"/>
    <xf numFmtId="0" fontId="46" fillId="0" borderId="3" xfId="0" applyFont="1" applyBorder="1" applyAlignment="1">
      <alignment horizontal="center" vertical="center"/>
    </xf>
    <xf numFmtId="2" fontId="46" fillId="0" borderId="3" xfId="4" applyNumberFormat="1" applyFont="1" applyBorder="1" applyAlignment="1">
      <alignment horizontal="center" vertical="top"/>
    </xf>
    <xf numFmtId="0" fontId="0" fillId="0" borderId="198" xfId="0" applyBorder="1"/>
    <xf numFmtId="0" fontId="46" fillId="0" borderId="1" xfId="0" applyFont="1" applyBorder="1" applyAlignment="1">
      <alignment horizontal="center" vertical="center"/>
    </xf>
    <xf numFmtId="2" fontId="46" fillId="0" borderId="1" xfId="4" applyNumberFormat="1" applyFont="1" applyBorder="1" applyAlignment="1">
      <alignment horizontal="center" vertical="top"/>
    </xf>
    <xf numFmtId="0" fontId="0" fillId="0" borderId="5" xfId="0" applyBorder="1"/>
    <xf numFmtId="0" fontId="46" fillId="0" borderId="6" xfId="0" applyFont="1" applyBorder="1" applyAlignment="1">
      <alignment horizontal="center" vertical="center"/>
    </xf>
    <xf numFmtId="2" fontId="46" fillId="0" borderId="6" xfId="4" applyNumberFormat="1" applyFont="1" applyBorder="1" applyAlignment="1">
      <alignment horizontal="center" vertical="top"/>
    </xf>
    <xf numFmtId="0" fontId="46" fillId="0" borderId="3" xfId="0" applyFont="1" applyFill="1" applyBorder="1" applyAlignment="1">
      <alignment horizontal="center" vertical="center"/>
    </xf>
    <xf numFmtId="0" fontId="0" fillId="0" borderId="198" xfId="0" applyFill="1" applyBorder="1"/>
    <xf numFmtId="0" fontId="46" fillId="0" borderId="1" xfId="0" applyFont="1" applyFill="1" applyBorder="1" applyAlignment="1">
      <alignment horizontal="center" vertical="center"/>
    </xf>
    <xf numFmtId="0" fontId="0" fillId="0" borderId="2" xfId="0" applyFill="1" applyBorder="1"/>
    <xf numFmtId="0" fontId="0" fillId="0" borderId="5" xfId="0" applyFill="1" applyBorder="1"/>
    <xf numFmtId="2" fontId="45" fillId="0" borderId="4" xfId="0" applyNumberFormat="1" applyFont="1" applyBorder="1" applyAlignment="1">
      <alignment horizontal="center" vertical="center"/>
    </xf>
    <xf numFmtId="2" fontId="45" fillId="0" borderId="196" xfId="0" applyNumberFormat="1" applyFont="1" applyBorder="1" applyAlignment="1">
      <alignment horizontal="center" vertical="center"/>
    </xf>
    <xf numFmtId="0" fontId="46" fillId="0" borderId="6" xfId="0" applyFont="1" applyFill="1" applyBorder="1" applyAlignment="1">
      <alignment horizontal="center" vertical="center"/>
    </xf>
    <xf numFmtId="2" fontId="45" fillId="0" borderId="7" xfId="0" applyNumberFormat="1" applyFont="1" applyBorder="1" applyAlignment="1">
      <alignment horizontal="center" vertical="center"/>
    </xf>
    <xf numFmtId="0" fontId="0" fillId="0" borderId="2" xfId="0" applyFill="1" applyBorder="1" applyAlignment="1">
      <alignment wrapText="1"/>
    </xf>
    <xf numFmtId="0" fontId="46" fillId="0" borderId="3" xfId="0" applyFont="1" applyFill="1" applyBorder="1" applyAlignment="1">
      <alignment horizontal="center" vertical="center" wrapText="1"/>
    </xf>
    <xf numFmtId="1" fontId="30" fillId="0" borderId="4" xfId="0" applyNumberFormat="1" applyFont="1" applyBorder="1" applyAlignment="1">
      <alignment horizontal="center" vertical="center"/>
    </xf>
    <xf numFmtId="0" fontId="0" fillId="0" borderId="8" xfId="0" applyFill="1" applyBorder="1" applyAlignment="1">
      <alignment wrapText="1"/>
    </xf>
    <xf numFmtId="0" fontId="46" fillId="0" borderId="9" xfId="0" applyFont="1" applyFill="1" applyBorder="1" applyAlignment="1">
      <alignment horizontal="center" vertical="center"/>
    </xf>
    <xf numFmtId="2" fontId="46" fillId="0" borderId="9" xfId="4" applyNumberFormat="1" applyFont="1" applyFill="1" applyBorder="1" applyAlignment="1">
      <alignment horizontal="center" vertical="center"/>
    </xf>
    <xf numFmtId="0" fontId="0" fillId="0" borderId="199" xfId="0" applyBorder="1" applyAlignment="1">
      <alignment horizontal="center" vertical="center"/>
    </xf>
    <xf numFmtId="0" fontId="0" fillId="0" borderId="198" xfId="0" applyFill="1" applyBorder="1" applyAlignment="1">
      <alignment wrapText="1"/>
    </xf>
    <xf numFmtId="0" fontId="0" fillId="0" borderId="1" xfId="0" applyBorder="1" applyAlignment="1">
      <alignment horizontal="center" vertical="center"/>
    </xf>
    <xf numFmtId="0" fontId="0" fillId="0" borderId="196" xfId="0" applyBorder="1" applyAlignment="1">
      <alignment horizontal="center" vertical="center"/>
    </xf>
    <xf numFmtId="0" fontId="0" fillId="0" borderId="71" xfId="0" applyFill="1" applyBorder="1" applyAlignment="1">
      <alignment horizontal="left" vertical="center" wrapText="1"/>
    </xf>
    <xf numFmtId="0" fontId="46" fillId="0" borderId="12" xfId="0" applyFont="1" applyFill="1" applyBorder="1" applyAlignment="1">
      <alignment horizontal="center" vertical="center" wrapText="1"/>
    </xf>
    <xf numFmtId="2" fontId="46" fillId="0" borderId="12" xfId="4" applyNumberFormat="1" applyFont="1" applyFill="1" applyBorder="1" applyAlignment="1">
      <alignment horizontal="center" vertical="center"/>
    </xf>
    <xf numFmtId="0" fontId="0" fillId="0" borderId="72" xfId="0" applyBorder="1" applyAlignment="1">
      <alignment horizontal="center" vertical="center"/>
    </xf>
    <xf numFmtId="0" fontId="0" fillId="0" borderId="5" xfId="0" applyBorder="1" applyAlignment="1">
      <alignment wrapText="1"/>
    </xf>
    <xf numFmtId="0" fontId="46" fillId="0" borderId="6" xfId="0" applyFont="1" applyFill="1" applyBorder="1" applyAlignment="1">
      <alignment horizontal="center" vertical="center" wrapText="1"/>
    </xf>
    <xf numFmtId="2" fontId="46" fillId="0" borderId="6" xfId="4" applyNumberFormat="1" applyFont="1" applyFill="1" applyBorder="1" applyAlignment="1">
      <alignment horizontal="center" vertical="center"/>
    </xf>
    <xf numFmtId="0" fontId="0" fillId="0" borderId="7" xfId="0" applyBorder="1" applyAlignment="1">
      <alignment horizontal="center" vertical="center"/>
    </xf>
    <xf numFmtId="0" fontId="0" fillId="8" borderId="63" xfId="0" applyFill="1" applyBorder="1" applyAlignment="1">
      <alignment horizontal="center" vertical="center" wrapText="1"/>
    </xf>
    <xf numFmtId="0" fontId="0" fillId="8" borderId="87" xfId="0" applyFill="1" applyBorder="1" applyAlignment="1">
      <alignment horizontal="center" vertical="center"/>
    </xf>
    <xf numFmtId="2" fontId="45" fillId="0" borderId="199" xfId="0" applyNumberFormat="1" applyFont="1" applyBorder="1" applyAlignment="1">
      <alignment horizontal="center" vertical="center"/>
    </xf>
    <xf numFmtId="2" fontId="45" fillId="0" borderId="64" xfId="0" applyNumberFormat="1" applyFont="1" applyBorder="1" applyAlignment="1">
      <alignment horizontal="center" vertical="center"/>
    </xf>
    <xf numFmtId="0" fontId="0" fillId="0" borderId="0" xfId="0" applyAlignment="1">
      <alignment horizontal="center"/>
    </xf>
    <xf numFmtId="2" fontId="45" fillId="0" borderId="41" xfId="0" applyNumberFormat="1" applyFont="1" applyBorder="1" applyAlignment="1">
      <alignment horizontal="center"/>
    </xf>
    <xf numFmtId="2" fontId="45" fillId="0" borderId="1" xfId="0" applyNumberFormat="1" applyFont="1" applyBorder="1" applyAlignment="1">
      <alignment horizontal="center"/>
    </xf>
    <xf numFmtId="2" fontId="45" fillId="0" borderId="49" xfId="0" applyNumberFormat="1" applyFont="1" applyBorder="1" applyAlignment="1">
      <alignment horizontal="center"/>
    </xf>
    <xf numFmtId="0" fontId="11" fillId="0" borderId="75"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181" xfId="0" applyFont="1" applyBorder="1" applyAlignment="1">
      <alignment horizontal="center" vertical="center" wrapText="1"/>
    </xf>
    <xf numFmtId="0" fontId="11" fillId="0" borderId="175" xfId="0" applyFont="1" applyBorder="1" applyAlignment="1">
      <alignment horizontal="center" vertical="center" wrapText="1"/>
    </xf>
    <xf numFmtId="0" fontId="11" fillId="0" borderId="178" xfId="0" applyFont="1" applyBorder="1" applyAlignment="1">
      <alignment horizontal="center" vertical="center" wrapText="1"/>
    </xf>
    <xf numFmtId="0" fontId="11" fillId="0" borderId="80" xfId="0" applyFont="1" applyBorder="1" applyAlignment="1">
      <alignment horizontal="center" vertical="center" wrapText="1"/>
    </xf>
    <xf numFmtId="0" fontId="48" fillId="9" borderId="87" xfId="0" applyFont="1" applyFill="1" applyBorder="1" applyAlignment="1">
      <alignment horizontal="center" wrapText="1"/>
    </xf>
    <xf numFmtId="0" fontId="48" fillId="9" borderId="89" xfId="0" applyFont="1" applyFill="1" applyBorder="1" applyAlignment="1">
      <alignment horizontal="center" wrapText="1"/>
    </xf>
    <xf numFmtId="0" fontId="0" fillId="9" borderId="80" xfId="0" applyFill="1" applyBorder="1" applyAlignment="1">
      <alignment wrapText="1"/>
    </xf>
    <xf numFmtId="0" fontId="48" fillId="9" borderId="84" xfId="0" applyFont="1" applyFill="1" applyBorder="1" applyAlignment="1">
      <alignment horizontal="center" wrapText="1"/>
    </xf>
    <xf numFmtId="0" fontId="51" fillId="9" borderId="100" xfId="0" applyFont="1" applyFill="1" applyBorder="1" applyAlignment="1">
      <alignment horizontal="center" wrapText="1"/>
    </xf>
    <xf numFmtId="0" fontId="51" fillId="9" borderId="113" xfId="0" applyFont="1" applyFill="1" applyBorder="1" applyAlignment="1">
      <alignment horizontal="center" wrapText="1"/>
    </xf>
    <xf numFmtId="0" fontId="47" fillId="9" borderId="84" xfId="0" applyFont="1" applyFill="1" applyBorder="1" applyAlignment="1">
      <alignment horizontal="center" wrapText="1"/>
    </xf>
    <xf numFmtId="0" fontId="53" fillId="9" borderId="100" xfId="0" applyFont="1" applyFill="1" applyBorder="1" applyAlignment="1">
      <alignment horizontal="center" wrapText="1"/>
    </xf>
    <xf numFmtId="0" fontId="53" fillId="9" borderId="113" xfId="0" applyFont="1" applyFill="1" applyBorder="1" applyAlignment="1">
      <alignment horizontal="center" wrapText="1"/>
    </xf>
    <xf numFmtId="0" fontId="48" fillId="10" borderId="100" xfId="0" applyFont="1" applyFill="1" applyBorder="1" applyAlignment="1">
      <alignment horizontal="center" wrapText="1"/>
    </xf>
    <xf numFmtId="0" fontId="54" fillId="10" borderId="100" xfId="0" applyFont="1" applyFill="1" applyBorder="1" applyAlignment="1">
      <alignment wrapText="1"/>
    </xf>
    <xf numFmtId="0" fontId="49" fillId="10" borderId="100" xfId="0" applyFont="1" applyFill="1" applyBorder="1" applyAlignment="1">
      <alignment wrapText="1"/>
    </xf>
    <xf numFmtId="0" fontId="48" fillId="10" borderId="100" xfId="0" applyFont="1" applyFill="1" applyBorder="1" applyAlignment="1">
      <alignment horizontal="right" wrapText="1"/>
    </xf>
    <xf numFmtId="0" fontId="48" fillId="10" borderId="100" xfId="0" applyFont="1" applyFill="1" applyBorder="1" applyAlignment="1">
      <alignment wrapText="1"/>
    </xf>
    <xf numFmtId="0" fontId="0" fillId="10" borderId="100" xfId="0" applyFill="1" applyBorder="1" applyAlignment="1">
      <alignment wrapText="1"/>
    </xf>
    <xf numFmtId="0" fontId="0" fillId="10" borderId="113" xfId="0" applyFill="1" applyBorder="1" applyAlignment="1">
      <alignment wrapText="1"/>
    </xf>
    <xf numFmtId="0" fontId="52" fillId="10" borderId="100" xfId="0" applyFont="1" applyFill="1" applyBorder="1" applyAlignment="1">
      <alignment wrapText="1"/>
    </xf>
    <xf numFmtId="0" fontId="50" fillId="10" borderId="100" xfId="0" applyFont="1" applyFill="1" applyBorder="1" applyAlignment="1">
      <alignment horizontal="right" wrapText="1"/>
    </xf>
    <xf numFmtId="0" fontId="48" fillId="10" borderId="100" xfId="0" applyFont="1" applyFill="1" applyBorder="1" applyAlignment="1">
      <alignment vertical="top" wrapText="1"/>
    </xf>
    <xf numFmtId="0" fontId="48" fillId="10" borderId="100" xfId="0" applyFont="1" applyFill="1" applyBorder="1" applyAlignment="1">
      <alignment horizontal="center" vertical="top" wrapText="1"/>
    </xf>
    <xf numFmtId="0" fontId="0" fillId="10" borderId="100" xfId="0" applyFill="1" applyBorder="1" applyAlignment="1">
      <alignment vertical="top" wrapText="1"/>
    </xf>
    <xf numFmtId="0" fontId="0" fillId="10" borderId="113" xfId="0" applyFill="1" applyBorder="1" applyAlignment="1">
      <alignment vertical="top" wrapText="1"/>
    </xf>
    <xf numFmtId="0" fontId="48" fillId="10" borderId="100" xfId="0" applyFont="1" applyFill="1" applyBorder="1" applyAlignment="1">
      <alignment horizontal="right" vertical="top" wrapText="1"/>
    </xf>
    <xf numFmtId="0" fontId="48" fillId="10" borderId="113" xfId="0" applyFont="1" applyFill="1" applyBorder="1" applyAlignment="1">
      <alignment horizontal="center" vertical="top" wrapText="1"/>
    </xf>
    <xf numFmtId="0" fontId="48" fillId="11" borderId="100" xfId="0" applyFont="1" applyFill="1" applyBorder="1" applyAlignment="1">
      <alignment horizontal="right" vertical="top" wrapText="1"/>
    </xf>
    <xf numFmtId="0" fontId="48" fillId="11" borderId="100" xfId="0" applyFont="1" applyFill="1" applyBorder="1" applyAlignment="1">
      <alignment vertical="top" wrapText="1"/>
    </xf>
    <xf numFmtId="0" fontId="55" fillId="11" borderId="100" xfId="0" applyFont="1" applyFill="1" applyBorder="1" applyAlignment="1">
      <alignment vertical="top" wrapText="1"/>
    </xf>
    <xf numFmtId="0" fontId="49" fillId="11" borderId="100" xfId="0" applyFont="1" applyFill="1" applyBorder="1" applyAlignment="1">
      <alignment horizontal="right" vertical="top" wrapText="1"/>
    </xf>
    <xf numFmtId="0" fontId="0" fillId="11" borderId="113" xfId="0" applyFill="1" applyBorder="1" applyAlignment="1">
      <alignment vertical="top" wrapText="1"/>
    </xf>
    <xf numFmtId="0" fontId="56" fillId="11" borderId="100" xfId="0" applyFont="1" applyFill="1" applyBorder="1" applyAlignment="1">
      <alignment vertical="top" wrapText="1"/>
    </xf>
    <xf numFmtId="0" fontId="53" fillId="11" borderId="100" xfId="0" applyFont="1" applyFill="1" applyBorder="1" applyAlignment="1">
      <alignment horizontal="right" vertical="top" wrapText="1"/>
    </xf>
    <xf numFmtId="0" fontId="48" fillId="11" borderId="113" xfId="0" applyFont="1" applyFill="1" applyBorder="1" applyAlignment="1">
      <alignment horizontal="right" vertical="top" wrapText="1"/>
    </xf>
    <xf numFmtId="0" fontId="48" fillId="11" borderId="100" xfId="0" applyFont="1" applyFill="1" applyBorder="1" applyAlignment="1">
      <alignment horizontal="center" wrapText="1"/>
    </xf>
    <xf numFmtId="0" fontId="0" fillId="11" borderId="100" xfId="0" applyFill="1" applyBorder="1" applyAlignment="1">
      <alignment wrapText="1"/>
    </xf>
    <xf numFmtId="0" fontId="0" fillId="11" borderId="113" xfId="0" applyFill="1" applyBorder="1" applyAlignment="1">
      <alignment wrapText="1"/>
    </xf>
    <xf numFmtId="0" fontId="54" fillId="11" borderId="100" xfId="0" applyFont="1" applyFill="1" applyBorder="1" applyAlignment="1">
      <alignment horizontal="right" wrapText="1"/>
    </xf>
    <xf numFmtId="0" fontId="54" fillId="11" borderId="100" xfId="0" applyFont="1" applyFill="1" applyBorder="1" applyAlignment="1">
      <alignment horizontal="center" wrapText="1"/>
    </xf>
    <xf numFmtId="0" fontId="48" fillId="11" borderId="100" xfId="0" applyFont="1" applyFill="1" applyBorder="1" applyAlignment="1">
      <alignment wrapText="1"/>
    </xf>
    <xf numFmtId="0" fontId="54" fillId="11" borderId="100" xfId="0" applyFont="1" applyFill="1" applyBorder="1" applyAlignment="1">
      <alignment wrapText="1"/>
    </xf>
    <xf numFmtId="0" fontId="55" fillId="12" borderId="100" xfId="0" applyFont="1" applyFill="1" applyBorder="1" applyAlignment="1">
      <alignment vertical="top" wrapText="1"/>
    </xf>
    <xf numFmtId="0" fontId="55" fillId="12" borderId="100" xfId="0" applyFont="1" applyFill="1" applyBorder="1" applyAlignment="1">
      <alignment horizontal="right" vertical="top" wrapText="1"/>
    </xf>
    <xf numFmtId="0" fontId="57" fillId="12" borderId="100" xfId="0" applyFont="1" applyFill="1" applyBorder="1" applyAlignment="1">
      <alignment horizontal="right" vertical="top" wrapText="1"/>
    </xf>
    <xf numFmtId="0" fontId="0" fillId="12" borderId="100" xfId="0" applyFill="1" applyBorder="1" applyAlignment="1">
      <alignment vertical="top" wrapText="1"/>
    </xf>
    <xf numFmtId="0" fontId="0" fillId="12" borderId="113" xfId="0" applyFill="1" applyBorder="1" applyAlignment="1">
      <alignment vertical="top" wrapText="1"/>
    </xf>
    <xf numFmtId="0" fontId="48" fillId="12" borderId="100" xfId="0" applyFont="1" applyFill="1" applyBorder="1" applyAlignment="1">
      <alignment vertical="top" wrapText="1"/>
    </xf>
    <xf numFmtId="0" fontId="52" fillId="12" borderId="100" xfId="0" applyFont="1" applyFill="1" applyBorder="1" applyAlignment="1">
      <alignment vertical="top" wrapText="1"/>
    </xf>
    <xf numFmtId="0" fontId="48" fillId="12" borderId="100" xfId="0" applyFont="1" applyFill="1" applyBorder="1" applyAlignment="1">
      <alignment horizontal="right" vertical="top" wrapText="1"/>
    </xf>
    <xf numFmtId="0" fontId="51" fillId="12" borderId="113" xfId="0" applyFont="1" applyFill="1" applyBorder="1" applyAlignment="1">
      <alignment horizontal="right" vertical="top" wrapText="1"/>
    </xf>
    <xf numFmtId="0" fontId="48" fillId="12" borderId="113" xfId="0" applyFont="1" applyFill="1" applyBorder="1" applyAlignment="1">
      <alignment horizontal="center" wrapText="1"/>
    </xf>
    <xf numFmtId="0" fontId="54" fillId="12" borderId="113" xfId="0" applyFont="1" applyFill="1" applyBorder="1" applyAlignment="1">
      <alignment horizontal="center" wrapText="1"/>
    </xf>
    <xf numFmtId="0" fontId="47" fillId="12" borderId="100" xfId="0" applyFont="1" applyFill="1" applyBorder="1" applyAlignment="1">
      <alignment vertical="top" wrapText="1"/>
    </xf>
    <xf numFmtId="0" fontId="48" fillId="12" borderId="113" xfId="0" applyFont="1" applyFill="1" applyBorder="1" applyAlignment="1">
      <alignment vertical="top" wrapText="1"/>
    </xf>
    <xf numFmtId="0" fontId="37" fillId="0" borderId="66" xfId="0" applyFont="1" applyBorder="1"/>
    <xf numFmtId="0" fontId="37" fillId="0" borderId="67" xfId="0" applyFont="1" applyBorder="1"/>
    <xf numFmtId="0" fontId="37" fillId="0" borderId="67" xfId="0" applyFont="1" applyBorder="1" applyAlignment="1">
      <alignment horizontal="center"/>
    </xf>
    <xf numFmtId="0" fontId="37" fillId="0" borderId="68" xfId="0" applyFont="1" applyBorder="1"/>
    <xf numFmtId="0" fontId="58" fillId="13" borderId="1" xfId="0" applyNumberFormat="1" applyFont="1" applyFill="1" applyBorder="1" applyAlignment="1">
      <alignment vertical="top" wrapText="1"/>
    </xf>
    <xf numFmtId="0" fontId="59" fillId="14" borderId="1" xfId="0" applyNumberFormat="1" applyFont="1" applyFill="1" applyBorder="1" applyAlignment="1">
      <alignment vertical="top" wrapText="1"/>
    </xf>
    <xf numFmtId="0" fontId="0" fillId="0" borderId="1" xfId="0" applyNumberFormat="1" applyFont="1" applyBorder="1" applyAlignment="1">
      <alignment vertical="top" wrapText="1"/>
    </xf>
    <xf numFmtId="0" fontId="0" fillId="0" borderId="1" xfId="0" applyNumberFormat="1" applyFont="1" applyBorder="1" applyAlignment="1">
      <alignment vertical="top" wrapText="1" indent="2"/>
    </xf>
    <xf numFmtId="0" fontId="59" fillId="0" borderId="1" xfId="0" applyFont="1" applyBorder="1" applyAlignment="1">
      <alignment horizontal="right"/>
    </xf>
    <xf numFmtId="0" fontId="59" fillId="6" borderId="1" xfId="0" applyNumberFormat="1" applyFont="1" applyFill="1" applyBorder="1" applyAlignment="1">
      <alignment vertical="top" wrapText="1"/>
    </xf>
    <xf numFmtId="2" fontId="0" fillId="0" borderId="70" xfId="0" applyNumberFormat="1" applyBorder="1"/>
    <xf numFmtId="2" fontId="58" fillId="13" borderId="1" xfId="0" applyNumberFormat="1" applyFont="1" applyFill="1" applyBorder="1" applyAlignment="1">
      <alignment vertical="top" wrapText="1"/>
    </xf>
    <xf numFmtId="2" fontId="0" fillId="0" borderId="1" xfId="0" applyNumberFormat="1" applyBorder="1"/>
    <xf numFmtId="2" fontId="0" fillId="0" borderId="0" xfId="0" applyNumberFormat="1"/>
    <xf numFmtId="0" fontId="60" fillId="0" borderId="0" xfId="0" applyFont="1"/>
    <xf numFmtId="2" fontId="60" fillId="0" borderId="0" xfId="0" applyNumberFormat="1" applyFont="1"/>
    <xf numFmtId="0" fontId="0" fillId="0" borderId="86" xfId="0" applyBorder="1"/>
    <xf numFmtId="0" fontId="0" fillId="0" borderId="175" xfId="0" applyBorder="1"/>
    <xf numFmtId="0" fontId="0" fillId="0" borderId="185" xfId="0" applyBorder="1"/>
    <xf numFmtId="0" fontId="0" fillId="0" borderId="103" xfId="0" applyBorder="1" applyAlignment="1">
      <alignment horizontal="center"/>
    </xf>
    <xf numFmtId="0" fontId="0" fillId="0" borderId="0" xfId="0" applyNumberFormat="1" applyFont="1" applyBorder="1" applyAlignment="1">
      <alignment vertical="top" wrapText="1" indent="2"/>
    </xf>
    <xf numFmtId="0" fontId="61" fillId="0" borderId="0" xfId="0" applyFont="1" applyBorder="1" applyAlignment="1">
      <alignment vertical="top"/>
    </xf>
    <xf numFmtId="0" fontId="0" fillId="0" borderId="0" xfId="0" applyAlignment="1">
      <alignment horizontal="center" vertical="center"/>
    </xf>
    <xf numFmtId="0" fontId="62" fillId="0" borderId="0" xfId="0" applyFont="1" applyBorder="1" applyAlignment="1">
      <alignment horizontal="center" vertical="top" wrapText="1"/>
    </xf>
    <xf numFmtId="0" fontId="64" fillId="15" borderId="1" xfId="0" applyFont="1" applyFill="1" applyBorder="1" applyAlignment="1">
      <alignment horizontal="center" vertical="center" wrapText="1"/>
    </xf>
    <xf numFmtId="0" fontId="68" fillId="15" borderId="1" xfId="0" applyFont="1" applyFill="1" applyBorder="1" applyAlignment="1">
      <alignment horizontal="center" vertical="distributed"/>
    </xf>
    <xf numFmtId="3" fontId="73" fillId="0" borderId="1" xfId="0" applyNumberFormat="1" applyFont="1" applyFill="1" applyBorder="1" applyAlignment="1">
      <alignment horizontal="center" vertical="center"/>
    </xf>
    <xf numFmtId="4" fontId="74" fillId="0" borderId="1" xfId="0" applyNumberFormat="1" applyFont="1" applyFill="1" applyBorder="1" applyAlignment="1">
      <alignment horizontal="center" vertical="center"/>
    </xf>
    <xf numFmtId="3" fontId="73" fillId="0" borderId="1" xfId="0" applyNumberFormat="1" applyFont="1" applyBorder="1" applyAlignment="1">
      <alignment horizontal="center" vertical="center"/>
    </xf>
    <xf numFmtId="0" fontId="78" fillId="0" borderId="0" xfId="0" applyFont="1" applyBorder="1" applyAlignment="1">
      <alignment vertical="top"/>
    </xf>
    <xf numFmtId="0" fontId="79" fillId="0" borderId="0" xfId="0" applyFont="1" applyAlignment="1">
      <alignment horizontal="center" vertical="center"/>
    </xf>
    <xf numFmtId="0" fontId="80" fillId="0" borderId="0" xfId="0" applyFont="1" applyAlignment="1">
      <alignment horizontal="right" vertical="center"/>
    </xf>
    <xf numFmtId="0" fontId="79" fillId="0" borderId="0" xfId="0" applyFont="1"/>
    <xf numFmtId="0" fontId="81" fillId="0" borderId="0" xfId="0" applyFont="1"/>
    <xf numFmtId="10" fontId="63" fillId="0" borderId="0" xfId="0" applyNumberFormat="1" applyFont="1" applyBorder="1" applyAlignment="1">
      <alignment horizontal="center" vertical="center"/>
    </xf>
    <xf numFmtId="9" fontId="63" fillId="0" borderId="0" xfId="0" applyNumberFormat="1" applyFont="1" applyBorder="1" applyAlignment="1">
      <alignment horizontal="center" vertical="center"/>
    </xf>
    <xf numFmtId="0" fontId="65" fillId="15" borderId="1" xfId="0" applyFont="1" applyFill="1" applyBorder="1" applyAlignment="1">
      <alignment horizontal="center" vertical="center" wrapText="1"/>
    </xf>
    <xf numFmtId="0" fontId="66" fillId="15" borderId="1" xfId="0" applyFont="1" applyFill="1" applyBorder="1" applyAlignment="1">
      <alignment horizontal="center" vertical="top" wrapText="1"/>
    </xf>
    <xf numFmtId="0" fontId="67" fillId="15" borderId="1" xfId="0" applyFont="1" applyFill="1" applyBorder="1" applyAlignment="1">
      <alignment horizontal="center" vertical="top" wrapText="1"/>
    </xf>
    <xf numFmtId="0" fontId="69" fillId="0"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64" fillId="0" borderId="1" xfId="0" applyFont="1" applyFill="1" applyBorder="1" applyAlignment="1">
      <alignment horizontal="center" vertical="center" wrapText="1"/>
    </xf>
    <xf numFmtId="165" fontId="72" fillId="0" borderId="1" xfId="0" applyNumberFormat="1" applyFont="1" applyFill="1" applyBorder="1" applyAlignment="1">
      <alignment horizontal="center" vertical="center" wrapText="1"/>
    </xf>
    <xf numFmtId="166" fontId="72" fillId="0" borderId="1" xfId="0" applyNumberFormat="1" applyFont="1" applyFill="1" applyBorder="1" applyAlignment="1">
      <alignment horizontal="center" vertical="center" wrapText="1"/>
    </xf>
    <xf numFmtId="3" fontId="77" fillId="0" borderId="1" xfId="0" applyNumberFormat="1" applyFont="1" applyBorder="1" applyAlignment="1">
      <alignment horizontal="center" vertical="center" wrapText="1"/>
    </xf>
    <xf numFmtId="3" fontId="77" fillId="0" borderId="1" xfId="0" applyNumberFormat="1" applyFont="1" applyFill="1" applyBorder="1" applyAlignment="1">
      <alignment horizontal="center" vertical="center"/>
    </xf>
    <xf numFmtId="0" fontId="72" fillId="6" borderId="1" xfId="0" applyFont="1" applyFill="1" applyBorder="1" applyAlignment="1">
      <alignment horizontal="center" vertical="center" wrapText="1"/>
    </xf>
    <xf numFmtId="9" fontId="82" fillId="0" borderId="0" xfId="0" applyNumberFormat="1" applyFont="1" applyBorder="1" applyAlignment="1">
      <alignment horizontal="center" vertical="center"/>
    </xf>
    <xf numFmtId="0" fontId="45" fillId="0" borderId="0" xfId="0" applyFont="1" applyAlignment="1">
      <alignment horizontal="center" vertical="center"/>
    </xf>
    <xf numFmtId="0" fontId="83" fillId="0" borderId="0" xfId="0" applyFont="1" applyAlignment="1">
      <alignment horizontal="right" vertical="center"/>
    </xf>
    <xf numFmtId="0" fontId="7" fillId="6" borderId="66" xfId="0" applyFont="1" applyFill="1" applyBorder="1" applyAlignment="1">
      <alignment vertical="center"/>
    </xf>
    <xf numFmtId="0" fontId="7" fillId="6" borderId="67" xfId="0" applyFont="1" applyFill="1" applyBorder="1" applyAlignment="1">
      <alignment vertical="center" wrapText="1"/>
    </xf>
    <xf numFmtId="49" fontId="3" fillId="6" borderId="135" xfId="0" applyNumberFormat="1" applyFont="1" applyFill="1" applyBorder="1" applyAlignment="1">
      <alignment horizontal="center" vertical="center" wrapText="1"/>
    </xf>
    <xf numFmtId="0" fontId="3" fillId="6" borderId="90" xfId="0" applyFont="1" applyFill="1" applyBorder="1" applyAlignment="1">
      <alignment horizontal="left" vertical="center" wrapText="1" indent="1"/>
    </xf>
    <xf numFmtId="4" fontId="3" fillId="6" borderId="62" xfId="0" applyNumberFormat="1" applyFont="1" applyFill="1" applyBorder="1" applyAlignment="1">
      <alignment horizontal="center" vertical="center"/>
    </xf>
    <xf numFmtId="49" fontId="9" fillId="6" borderId="59" xfId="0" applyNumberFormat="1" applyFont="1" applyFill="1" applyBorder="1" applyAlignment="1">
      <alignment horizontal="center" vertical="center" wrapText="1"/>
    </xf>
    <xf numFmtId="4" fontId="3" fillId="6" borderId="60" xfId="0" applyNumberFormat="1" applyFont="1" applyFill="1" applyBorder="1" applyAlignment="1">
      <alignment horizontal="right" vertical="center" wrapText="1"/>
    </xf>
    <xf numFmtId="4" fontId="3" fillId="6" borderId="109" xfId="0" applyNumberFormat="1" applyFont="1" applyFill="1" applyBorder="1" applyAlignment="1">
      <alignment horizontal="right" vertical="center" wrapText="1"/>
    </xf>
    <xf numFmtId="0" fontId="3" fillId="6" borderId="91" xfId="0" applyFont="1" applyFill="1" applyBorder="1" applyAlignment="1">
      <alignment horizontal="left" vertical="center" wrapText="1" indent="1"/>
    </xf>
    <xf numFmtId="4" fontId="3" fillId="6" borderId="38" xfId="0" applyNumberFormat="1" applyFont="1" applyFill="1" applyBorder="1" applyAlignment="1">
      <alignment horizontal="center" vertical="center"/>
    </xf>
    <xf numFmtId="49" fontId="3" fillId="6" borderId="17" xfId="0" applyNumberFormat="1" applyFont="1" applyFill="1" applyBorder="1" applyAlignment="1">
      <alignment horizontal="center" vertical="center" wrapText="1"/>
    </xf>
    <xf numFmtId="4" fontId="3" fillId="6" borderId="14" xfId="0" applyNumberFormat="1" applyFont="1" applyFill="1" applyBorder="1" applyAlignment="1">
      <alignment horizontal="right" vertical="center" wrapText="1"/>
    </xf>
    <xf numFmtId="4" fontId="3" fillId="6" borderId="47" xfId="0" applyNumberFormat="1" applyFont="1" applyFill="1" applyBorder="1" applyAlignment="1">
      <alignment horizontal="right" vertical="center" wrapText="1"/>
    </xf>
    <xf numFmtId="49" fontId="9" fillId="6" borderId="17" xfId="0" applyNumberFormat="1" applyFont="1" applyFill="1" applyBorder="1" applyAlignment="1">
      <alignment horizontal="center" vertical="center" wrapText="1"/>
    </xf>
    <xf numFmtId="0" fontId="3" fillId="6" borderId="92" xfId="0" applyFont="1" applyFill="1" applyBorder="1" applyAlignment="1">
      <alignment horizontal="left" vertical="center" wrapText="1" indent="1"/>
    </xf>
    <xf numFmtId="4" fontId="3" fillId="6" borderId="39" xfId="0" applyNumberFormat="1" applyFont="1" applyFill="1" applyBorder="1" applyAlignment="1">
      <alignment horizontal="center" vertical="center"/>
    </xf>
    <xf numFmtId="49" fontId="9" fillId="6" borderId="29" xfId="0" applyNumberFormat="1" applyFont="1" applyFill="1" applyBorder="1" applyAlignment="1">
      <alignment horizontal="center" vertical="center" wrapText="1"/>
    </xf>
    <xf numFmtId="4" fontId="3" fillId="6" borderId="33" xfId="0" applyNumberFormat="1" applyFont="1" applyFill="1" applyBorder="1" applyAlignment="1">
      <alignment horizontal="right" vertical="center" wrapText="1"/>
    </xf>
    <xf numFmtId="4" fontId="3" fillId="6" borderId="137" xfId="0" applyNumberFormat="1" applyFont="1" applyFill="1" applyBorder="1" applyAlignment="1">
      <alignment horizontal="right" vertical="center" wrapText="1"/>
    </xf>
    <xf numFmtId="0" fontId="37" fillId="0" borderId="44" xfId="0" applyFont="1" applyBorder="1" applyAlignment="1">
      <alignment horizontal="left"/>
    </xf>
    <xf numFmtId="0" fontId="37" fillId="0" borderId="86" xfId="0" applyFont="1" applyBorder="1"/>
    <xf numFmtId="0" fontId="37" fillId="0" borderId="45" xfId="0" applyFont="1" applyBorder="1"/>
    <xf numFmtId="0" fontId="37" fillId="0" borderId="122" xfId="0" applyFont="1" applyBorder="1" applyAlignment="1">
      <alignment horizontal="left"/>
    </xf>
    <xf numFmtId="0" fontId="37" fillId="0" borderId="175" xfId="0" applyFont="1" applyBorder="1"/>
    <xf numFmtId="0" fontId="37" fillId="0" borderId="121" xfId="0" applyFont="1" applyBorder="1"/>
    <xf numFmtId="4" fontId="37" fillId="0" borderId="121" xfId="0" applyNumberFormat="1" applyFont="1" applyBorder="1"/>
    <xf numFmtId="0" fontId="37" fillId="0" borderId="201" xfId="0" applyFont="1" applyBorder="1" applyAlignment="1">
      <alignment horizontal="left"/>
    </xf>
    <xf numFmtId="0" fontId="37" fillId="0" borderId="185" xfId="0" applyFont="1" applyBorder="1"/>
    <xf numFmtId="0" fontId="37" fillId="0" borderId="114" xfId="0" applyFont="1" applyBorder="1"/>
    <xf numFmtId="0" fontId="37" fillId="0" borderId="200" xfId="0" applyFont="1" applyBorder="1"/>
    <xf numFmtId="0" fontId="37" fillId="6" borderId="44" xfId="0" applyNumberFormat="1" applyFont="1" applyFill="1" applyBorder="1" applyAlignment="1">
      <alignment horizontal="left" vertical="top" wrapText="1"/>
    </xf>
    <xf numFmtId="0" fontId="37" fillId="6" borderId="86" xfId="0" applyNumberFormat="1" applyFont="1" applyFill="1" applyBorder="1" applyAlignment="1">
      <alignment vertical="top" wrapText="1"/>
    </xf>
    <xf numFmtId="2" fontId="37" fillId="6" borderId="45" xfId="0" applyNumberFormat="1" applyFont="1" applyFill="1" applyBorder="1" applyAlignment="1">
      <alignment horizontal="right" vertical="top" wrapText="1"/>
    </xf>
    <xf numFmtId="0" fontId="37" fillId="6" borderId="122" xfId="0" applyNumberFormat="1" applyFont="1" applyFill="1" applyBorder="1" applyAlignment="1">
      <alignment horizontal="left" vertical="top" wrapText="1"/>
    </xf>
    <xf numFmtId="0" fontId="37" fillId="6" borderId="175" xfId="0" applyNumberFormat="1" applyFont="1" applyFill="1" applyBorder="1" applyAlignment="1">
      <alignment vertical="top" wrapText="1"/>
    </xf>
    <xf numFmtId="4" fontId="37" fillId="6" borderId="121" xfId="0" applyNumberFormat="1" applyFont="1" applyFill="1" applyBorder="1" applyAlignment="1">
      <alignment horizontal="right" vertical="top" wrapText="1"/>
    </xf>
    <xf numFmtId="2" fontId="37" fillId="6" borderId="121" xfId="0" applyNumberFormat="1" applyFont="1" applyFill="1" applyBorder="1" applyAlignment="1">
      <alignment horizontal="right" vertical="top" wrapText="1"/>
    </xf>
    <xf numFmtId="0" fontId="37" fillId="6" borderId="123" xfId="0" applyNumberFormat="1" applyFont="1" applyFill="1" applyBorder="1" applyAlignment="1">
      <alignment horizontal="left" vertical="top" wrapText="1"/>
    </xf>
    <xf numFmtId="0" fontId="37" fillId="6" borderId="185" xfId="0" applyNumberFormat="1" applyFont="1" applyFill="1" applyBorder="1" applyAlignment="1">
      <alignment vertical="top" wrapText="1"/>
    </xf>
    <xf numFmtId="2" fontId="37" fillId="6" borderId="124" xfId="0" applyNumberFormat="1" applyFont="1" applyFill="1" applyBorder="1" applyAlignment="1">
      <alignment horizontal="right" vertical="top" wrapText="1"/>
    </xf>
    <xf numFmtId="0" fontId="85" fillId="0" borderId="66" xfId="0" applyNumberFormat="1" applyFont="1" applyBorder="1" applyAlignment="1">
      <alignment horizontal="center" vertical="center"/>
    </xf>
    <xf numFmtId="0" fontId="85" fillId="0" borderId="70" xfId="0" applyNumberFormat="1" applyFont="1" applyBorder="1" applyAlignment="1">
      <alignment horizontal="center" vertical="center"/>
    </xf>
    <xf numFmtId="0" fontId="85" fillId="0" borderId="68" xfId="0" applyNumberFormat="1" applyFont="1" applyBorder="1" applyAlignment="1">
      <alignment horizontal="center" vertical="center"/>
    </xf>
    <xf numFmtId="0" fontId="0" fillId="0" borderId="202" xfId="0" applyNumberFormat="1" applyFont="1" applyBorder="1" applyAlignment="1">
      <alignment horizontal="left" vertical="top" wrapText="1"/>
    </xf>
    <xf numFmtId="0" fontId="0" fillId="0" borderId="184" xfId="0" applyNumberFormat="1" applyFont="1" applyBorder="1" applyAlignment="1">
      <alignment horizontal="left" vertical="top"/>
    </xf>
    <xf numFmtId="2" fontId="0" fillId="0" borderId="203" xfId="0" applyNumberFormat="1" applyFont="1" applyBorder="1" applyAlignment="1">
      <alignment horizontal="right" vertical="top"/>
    </xf>
    <xf numFmtId="0" fontId="0" fillId="0" borderId="122" xfId="0" applyNumberFormat="1" applyFont="1" applyBorder="1" applyAlignment="1">
      <alignment horizontal="left" vertical="top" wrapText="1"/>
    </xf>
    <xf numFmtId="0" fontId="0" fillId="0" borderId="175" xfId="0" applyNumberFormat="1" applyFont="1" applyBorder="1" applyAlignment="1">
      <alignment horizontal="left" vertical="top"/>
    </xf>
    <xf numFmtId="2" fontId="0" fillId="0" borderId="204" xfId="0" applyNumberFormat="1" applyFont="1" applyBorder="1" applyAlignment="1">
      <alignment horizontal="right" vertical="top"/>
    </xf>
    <xf numFmtId="0" fontId="0" fillId="0" borderId="123" xfId="0" applyNumberFormat="1" applyFont="1" applyBorder="1" applyAlignment="1">
      <alignment horizontal="left" vertical="top" wrapText="1"/>
    </xf>
    <xf numFmtId="0" fontId="0" fillId="0" borderId="185" xfId="0" applyNumberFormat="1" applyFont="1" applyBorder="1" applyAlignment="1">
      <alignment horizontal="left" vertical="top"/>
    </xf>
    <xf numFmtId="2" fontId="0" fillId="0" borderId="205" xfId="0" applyNumberFormat="1" applyFont="1" applyBorder="1" applyAlignment="1">
      <alignment horizontal="right" vertical="top"/>
    </xf>
    <xf numFmtId="0" fontId="0" fillId="0" borderId="44" xfId="0" applyNumberFormat="1" applyFont="1" applyBorder="1" applyAlignment="1">
      <alignment horizontal="left" vertical="top" wrapText="1"/>
    </xf>
    <xf numFmtId="0" fontId="0" fillId="0" borderId="86" xfId="0" applyNumberFormat="1" applyFont="1" applyBorder="1" applyAlignment="1">
      <alignment horizontal="left" vertical="top"/>
    </xf>
    <xf numFmtId="2" fontId="0" fillId="0" borderId="46" xfId="0" applyNumberFormat="1" applyFont="1" applyBorder="1" applyAlignment="1">
      <alignment horizontal="right" vertical="top"/>
    </xf>
    <xf numFmtId="4" fontId="0" fillId="0" borderId="204" xfId="0" applyNumberFormat="1" applyFont="1" applyBorder="1" applyAlignment="1">
      <alignment horizontal="right" vertical="top"/>
    </xf>
    <xf numFmtId="4" fontId="0" fillId="0" borderId="205" xfId="0" applyNumberFormat="1" applyFont="1" applyBorder="1" applyAlignment="1">
      <alignment horizontal="right" vertical="top"/>
    </xf>
    <xf numFmtId="0" fontId="0" fillId="0" borderId="87" xfId="0" applyBorder="1"/>
    <xf numFmtId="0" fontId="0" fillId="0" borderId="89" xfId="0" applyBorder="1"/>
    <xf numFmtId="0" fontId="0" fillId="0" borderId="80" xfId="0" applyBorder="1"/>
    <xf numFmtId="4" fontId="0" fillId="0" borderId="86" xfId="0" applyNumberFormat="1" applyFont="1" applyBorder="1" applyAlignment="1">
      <alignment horizontal="right" vertical="top"/>
    </xf>
    <xf numFmtId="4" fontId="0" fillId="0" borderId="175" xfId="0" applyNumberFormat="1" applyFont="1" applyBorder="1" applyAlignment="1">
      <alignment horizontal="right" vertical="top"/>
    </xf>
    <xf numFmtId="4" fontId="0" fillId="0" borderId="185" xfId="0" applyNumberFormat="1" applyFont="1" applyBorder="1" applyAlignment="1">
      <alignment horizontal="right" vertical="top"/>
    </xf>
    <xf numFmtId="0" fontId="0" fillId="0" borderId="68" xfId="0" applyBorder="1" applyAlignment="1">
      <alignment horizontal="center"/>
    </xf>
    <xf numFmtId="0" fontId="0" fillId="0" borderId="70" xfId="0" applyBorder="1"/>
    <xf numFmtId="0" fontId="45" fillId="0" borderId="66" xfId="0" applyFont="1" applyBorder="1" applyAlignment="1">
      <alignment horizontal="center"/>
    </xf>
    <xf numFmtId="0" fontId="86" fillId="0" borderId="0" xfId="0" applyFont="1"/>
    <xf numFmtId="0" fontId="87" fillId="0" borderId="0" xfId="0" applyFont="1"/>
    <xf numFmtId="0" fontId="0" fillId="0" borderId="0" xfId="0" applyBorder="1" applyAlignment="1">
      <alignment horizontal="left" vertical="top" wrapText="1"/>
    </xf>
    <xf numFmtId="2" fontId="0" fillId="6" borderId="1" xfId="0" applyNumberFormat="1" applyFill="1" applyBorder="1"/>
    <xf numFmtId="0" fontId="88" fillId="6" borderId="1" xfId="0" applyNumberFormat="1" applyFont="1" applyFill="1" applyBorder="1" applyAlignment="1">
      <alignment vertical="top" wrapText="1"/>
    </xf>
    <xf numFmtId="0" fontId="88" fillId="6" borderId="1" xfId="0" applyNumberFormat="1" applyFont="1" applyFill="1" applyBorder="1" applyAlignment="1">
      <alignment vertical="top"/>
    </xf>
    <xf numFmtId="2" fontId="0" fillId="6" borderId="1" xfId="0" applyNumberFormat="1" applyFont="1" applyFill="1" applyBorder="1"/>
    <xf numFmtId="0" fontId="89" fillId="0" borderId="66" xfId="0" applyFont="1" applyBorder="1" applyAlignment="1">
      <alignment horizontal="center" wrapText="1"/>
    </xf>
    <xf numFmtId="0" fontId="89" fillId="0" borderId="68" xfId="0" applyFont="1" applyBorder="1" applyAlignment="1">
      <alignment horizontal="center" wrapText="1"/>
    </xf>
    <xf numFmtId="0" fontId="0" fillId="0" borderId="9" xfId="0" applyBorder="1" applyAlignment="1">
      <alignment horizontal="center" vertical="top" wrapText="1"/>
    </xf>
    <xf numFmtId="2" fontId="0" fillId="0" borderId="9" xfId="0" applyNumberFormat="1" applyBorder="1" applyAlignment="1">
      <alignment horizontal="center" vertical="center" wrapText="1"/>
    </xf>
    <xf numFmtId="0" fontId="0" fillId="0" borderId="207" xfId="0" applyBorder="1" applyAlignment="1">
      <alignment horizontal="left" vertical="top" wrapText="1"/>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0" fillId="0" borderId="1" xfId="0" applyNumberFormat="1" applyBorder="1" applyAlignment="1">
      <alignment horizontal="center"/>
    </xf>
    <xf numFmtId="2" fontId="0" fillId="6" borderId="1" xfId="0" applyNumberFormat="1" applyFill="1" applyBorder="1" applyAlignment="1">
      <alignment horizontal="center" vertical="top" wrapText="1"/>
    </xf>
    <xf numFmtId="2" fontId="0" fillId="6" borderId="1" xfId="0" applyNumberFormat="1" applyFill="1" applyBorder="1" applyAlignment="1">
      <alignment horizontal="center"/>
    </xf>
    <xf numFmtId="0" fontId="0" fillId="0" borderId="121" xfId="0" applyBorder="1" applyAlignment="1">
      <alignment horizontal="left" vertical="top" wrapText="1"/>
    </xf>
    <xf numFmtId="0" fontId="91" fillId="0" borderId="213" xfId="0" applyFont="1" applyFill="1" applyBorder="1" applyAlignment="1">
      <alignment horizontal="left" vertical="center" wrapText="1" indent="6"/>
    </xf>
    <xf numFmtId="0" fontId="91" fillId="0" borderId="216" xfId="0" applyFont="1" applyFill="1" applyBorder="1" applyAlignment="1">
      <alignment horizontal="center" vertical="top" wrapText="1"/>
    </xf>
    <xf numFmtId="0" fontId="91" fillId="0" borderId="217" xfId="0" applyFont="1" applyFill="1" applyBorder="1" applyAlignment="1">
      <alignment horizontal="center" vertical="top" wrapText="1"/>
    </xf>
    <xf numFmtId="0" fontId="91" fillId="0" borderId="210" xfId="0" applyFont="1" applyFill="1" applyBorder="1" applyAlignment="1">
      <alignment horizontal="center" vertical="top" wrapText="1"/>
    </xf>
    <xf numFmtId="0" fontId="91" fillId="0" borderId="211" xfId="0" applyFont="1" applyFill="1" applyBorder="1" applyAlignment="1">
      <alignment horizontal="center" vertical="top" wrapText="1"/>
    </xf>
    <xf numFmtId="0" fontId="91" fillId="0" borderId="212" xfId="0" applyFont="1" applyFill="1" applyBorder="1" applyAlignment="1">
      <alignment horizontal="center" vertical="top" wrapText="1"/>
    </xf>
    <xf numFmtId="0" fontId="91" fillId="0" borderId="206" xfId="0" applyFont="1" applyFill="1" applyBorder="1" applyAlignment="1">
      <alignment horizontal="left" vertical="center" wrapText="1" indent="6"/>
    </xf>
    <xf numFmtId="0" fontId="91" fillId="0" borderId="209" xfId="0" applyFont="1" applyFill="1" applyBorder="1" applyAlignment="1">
      <alignment horizontal="left" vertical="center" wrapText="1" indent="6"/>
    </xf>
    <xf numFmtId="0" fontId="91" fillId="0" borderId="218" xfId="0" applyFont="1" applyFill="1" applyBorder="1" applyAlignment="1">
      <alignment horizontal="left" textRotation="90" wrapText="1"/>
    </xf>
    <xf numFmtId="0" fontId="91" fillId="0" borderId="211" xfId="0" applyFont="1" applyFill="1" applyBorder="1" applyAlignment="1">
      <alignment horizontal="left" vertical="top" wrapText="1" indent="5"/>
    </xf>
    <xf numFmtId="0" fontId="91" fillId="0" borderId="212" xfId="0" applyFont="1" applyFill="1" applyBorder="1" applyAlignment="1">
      <alignment horizontal="left" vertical="top" wrapText="1" indent="5"/>
    </xf>
    <xf numFmtId="0" fontId="91" fillId="0" borderId="215" xfId="0" applyFont="1" applyFill="1" applyBorder="1" applyAlignment="1">
      <alignment horizontal="left" textRotation="90" wrapText="1"/>
    </xf>
    <xf numFmtId="0" fontId="91" fillId="0" borderId="217" xfId="0" applyFont="1" applyFill="1" applyBorder="1" applyAlignment="1">
      <alignment horizontal="left" textRotation="90" wrapText="1"/>
    </xf>
    <xf numFmtId="0" fontId="93" fillId="0" borderId="218" xfId="0" applyFont="1" applyFill="1" applyBorder="1" applyAlignment="1">
      <alignment horizontal="left" textRotation="90" wrapText="1"/>
    </xf>
    <xf numFmtId="0" fontId="91" fillId="0" borderId="219" xfId="0" applyFont="1" applyFill="1" applyBorder="1" applyAlignment="1">
      <alignment horizontal="left" textRotation="90" wrapText="1"/>
    </xf>
    <xf numFmtId="0" fontId="91" fillId="0" borderId="51" xfId="0" applyFont="1" applyFill="1" applyBorder="1" applyAlignment="1">
      <alignment horizontal="left" vertical="top" wrapText="1"/>
    </xf>
    <xf numFmtId="0" fontId="0" fillId="0" borderId="51" xfId="0" applyFill="1" applyBorder="1" applyAlignment="1">
      <alignment horizontal="left" vertical="top" wrapText="1" indent="1"/>
    </xf>
    <xf numFmtId="0" fontId="0" fillId="0" borderId="51" xfId="0" applyFill="1" applyBorder="1" applyAlignment="1">
      <alignment horizontal="left" vertical="top" wrapText="1"/>
    </xf>
    <xf numFmtId="0" fontId="93" fillId="0" borderId="219" xfId="0" applyFont="1" applyFill="1" applyBorder="1" applyAlignment="1">
      <alignment horizontal="left" textRotation="90" wrapText="1"/>
    </xf>
    <xf numFmtId="165" fontId="90" fillId="0" borderId="218" xfId="0" applyNumberFormat="1" applyFont="1" applyFill="1" applyBorder="1" applyAlignment="1">
      <alignment horizontal="left" vertical="center" shrinkToFit="1"/>
    </xf>
    <xf numFmtId="2" fontId="90" fillId="0" borderId="218" xfId="0" applyNumberFormat="1" applyFont="1" applyFill="1" applyBorder="1" applyAlignment="1">
      <alignment horizontal="left" vertical="center" shrinkToFit="1"/>
    </xf>
    <xf numFmtId="165" fontId="90" fillId="0" borderId="218" xfId="0" applyNumberFormat="1" applyFont="1" applyFill="1" applyBorder="1" applyAlignment="1">
      <alignment horizontal="left" vertical="center" indent="1" shrinkToFit="1"/>
    </xf>
    <xf numFmtId="0" fontId="91" fillId="0" borderId="215" xfId="0" applyFont="1" applyFill="1" applyBorder="1" applyAlignment="1">
      <alignment horizontal="left" vertical="center" wrapText="1" indent="6"/>
    </xf>
    <xf numFmtId="0" fontId="91" fillId="0" borderId="217" xfId="0" applyFont="1" applyFill="1" applyBorder="1" applyAlignment="1">
      <alignment horizontal="left" vertical="center" wrapText="1" indent="6"/>
    </xf>
    <xf numFmtId="0" fontId="91" fillId="0" borderId="51" xfId="0" applyFont="1" applyFill="1" applyBorder="1" applyAlignment="1">
      <alignment horizontal="center" vertical="top" wrapText="1"/>
    </xf>
    <xf numFmtId="165" fontId="90" fillId="0" borderId="219" xfId="0" applyNumberFormat="1" applyFont="1" applyFill="1" applyBorder="1" applyAlignment="1">
      <alignment horizontal="left" vertical="center" shrinkToFit="1"/>
    </xf>
    <xf numFmtId="2" fontId="90" fillId="0" borderId="219" xfId="0" applyNumberFormat="1" applyFont="1" applyFill="1" applyBorder="1" applyAlignment="1">
      <alignment horizontal="left" vertical="center" shrinkToFit="1"/>
    </xf>
    <xf numFmtId="165" fontId="90" fillId="0" borderId="219" xfId="0" applyNumberFormat="1" applyFont="1" applyFill="1" applyBorder="1" applyAlignment="1">
      <alignment horizontal="left" vertical="center" indent="1" shrinkToFit="1"/>
    </xf>
    <xf numFmtId="1" fontId="94" fillId="0" borderId="51" xfId="0" applyNumberFormat="1" applyFont="1" applyFill="1" applyBorder="1" applyAlignment="1">
      <alignment horizontal="left" vertical="top" shrinkToFit="1"/>
    </xf>
    <xf numFmtId="0" fontId="96" fillId="0" borderId="51" xfId="0" applyFont="1" applyFill="1" applyBorder="1" applyAlignment="1">
      <alignment horizontal="center" vertical="top" wrapText="1"/>
    </xf>
    <xf numFmtId="0" fontId="96" fillId="0" borderId="207" xfId="0" applyFont="1" applyFill="1" applyBorder="1" applyAlignment="1">
      <alignment horizontal="center" vertical="center" wrapText="1"/>
    </xf>
    <xf numFmtId="0" fontId="96" fillId="0" borderId="213"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96" fillId="0" borderId="209" xfId="0" applyFont="1" applyFill="1" applyBorder="1" applyAlignment="1">
      <alignment horizontal="center" vertical="center" wrapText="1"/>
    </xf>
    <xf numFmtId="0" fontId="0" fillId="0" borderId="51" xfId="0" applyFill="1" applyBorder="1" applyAlignment="1">
      <alignment horizontal="left" wrapText="1"/>
    </xf>
    <xf numFmtId="0" fontId="96" fillId="0" borderId="216" xfId="0" applyFont="1" applyFill="1" applyBorder="1" applyAlignment="1">
      <alignment horizontal="center" vertical="center" wrapText="1"/>
    </xf>
    <xf numFmtId="0" fontId="96" fillId="0" borderId="217" xfId="0" applyFont="1" applyFill="1" applyBorder="1" applyAlignment="1">
      <alignment horizontal="center" vertical="center" wrapText="1"/>
    </xf>
    <xf numFmtId="0" fontId="91" fillId="0" borderId="51" xfId="0" applyFont="1" applyFill="1" applyBorder="1" applyAlignment="1">
      <alignment horizontal="left" vertical="top" wrapText="1" indent="1"/>
    </xf>
    <xf numFmtId="0" fontId="91" fillId="0" borderId="207" xfId="0" applyFont="1" applyFill="1" applyBorder="1" applyAlignment="1">
      <alignment horizontal="left" vertical="center" wrapText="1" indent="6"/>
    </xf>
    <xf numFmtId="0" fontId="91" fillId="0" borderId="0" xfId="0" applyFont="1" applyFill="1" applyBorder="1" applyAlignment="1">
      <alignment horizontal="left" vertical="center" wrapText="1" indent="6"/>
    </xf>
    <xf numFmtId="0" fontId="98" fillId="0" borderId="51" xfId="0" applyFont="1" applyFill="1" applyBorder="1" applyAlignment="1">
      <alignment horizontal="left" vertical="top" wrapText="1"/>
    </xf>
    <xf numFmtId="0" fontId="91" fillId="0" borderId="216" xfId="0" applyFont="1" applyFill="1" applyBorder="1" applyAlignment="1">
      <alignment horizontal="left" vertical="center" wrapText="1" indent="6"/>
    </xf>
    <xf numFmtId="0" fontId="91" fillId="0" borderId="208" xfId="0" applyFont="1" applyFill="1" applyBorder="1" applyAlignment="1">
      <alignment horizontal="left" vertical="center" wrapText="1"/>
    </xf>
    <xf numFmtId="0" fontId="91" fillId="0" borderId="213" xfId="0" applyFont="1" applyFill="1" applyBorder="1" applyAlignment="1">
      <alignment horizontal="left" vertical="center" wrapText="1"/>
    </xf>
    <xf numFmtId="0" fontId="91" fillId="0" borderId="206" xfId="0" applyFont="1" applyFill="1" applyBorder="1" applyAlignment="1">
      <alignment horizontal="left" vertical="center" wrapText="1"/>
    </xf>
    <xf numFmtId="0" fontId="91" fillId="0" borderId="209" xfId="0" applyFont="1" applyFill="1" applyBorder="1" applyAlignment="1">
      <alignment horizontal="left" vertical="center" wrapText="1"/>
    </xf>
    <xf numFmtId="0" fontId="91" fillId="0" borderId="215" xfId="0" applyFont="1" applyFill="1" applyBorder="1" applyAlignment="1">
      <alignment horizontal="left" vertical="center" wrapText="1"/>
    </xf>
    <xf numFmtId="0" fontId="91" fillId="0" borderId="217" xfId="0" applyFont="1" applyFill="1" applyBorder="1" applyAlignment="1">
      <alignment horizontal="left" vertical="center" wrapText="1"/>
    </xf>
    <xf numFmtId="0" fontId="0" fillId="0" borderId="0" xfId="0" applyFill="1" applyBorder="1" applyAlignment="1">
      <alignment horizontal="left" vertical="top"/>
    </xf>
    <xf numFmtId="0" fontId="45" fillId="0" borderId="9" xfId="0" applyFont="1" applyBorder="1" applyAlignment="1">
      <alignment horizontal="center" vertical="center"/>
    </xf>
    <xf numFmtId="0" fontId="45" fillId="0" borderId="1" xfId="0" applyFont="1" applyBorder="1" applyAlignment="1">
      <alignment horizontal="center" vertical="center"/>
    </xf>
    <xf numFmtId="0" fontId="45" fillId="0" borderId="1" xfId="0" applyFont="1" applyFill="1" applyBorder="1" applyAlignment="1">
      <alignment horizontal="center" vertical="center"/>
    </xf>
    <xf numFmtId="0" fontId="86" fillId="0" borderId="70" xfId="0" applyFont="1" applyBorder="1" applyAlignment="1">
      <alignment horizontal="center"/>
    </xf>
    <xf numFmtId="0" fontId="45" fillId="0" borderId="70" xfId="0" applyFont="1" applyBorder="1" applyAlignment="1">
      <alignment horizontal="center" vertical="center"/>
    </xf>
    <xf numFmtId="0" fontId="45" fillId="0" borderId="70" xfId="0" applyFont="1" applyBorder="1"/>
    <xf numFmtId="0" fontId="0" fillId="16" borderId="0" xfId="0" applyFill="1"/>
    <xf numFmtId="1" fontId="102" fillId="0" borderId="51" xfId="0" applyNumberFormat="1" applyFont="1" applyFill="1" applyBorder="1" applyAlignment="1">
      <alignment horizontal="left" vertical="top" shrinkToFit="1"/>
    </xf>
    <xf numFmtId="0" fontId="58" fillId="0" borderId="51" xfId="0" applyFont="1" applyFill="1" applyBorder="1" applyAlignment="1">
      <alignment horizontal="center" vertical="top" wrapText="1"/>
    </xf>
    <xf numFmtId="1" fontId="104" fillId="0" borderId="51" xfId="0" applyNumberFormat="1" applyFont="1" applyFill="1" applyBorder="1" applyAlignment="1">
      <alignment horizontal="center" vertical="top" shrinkToFit="1"/>
    </xf>
    <xf numFmtId="1" fontId="104" fillId="0" borderId="51" xfId="0" applyNumberFormat="1" applyFont="1" applyFill="1" applyBorder="1" applyAlignment="1">
      <alignment horizontal="left" vertical="top" indent="1" shrinkToFit="1"/>
    </xf>
    <xf numFmtId="0" fontId="58" fillId="0" borderId="208" xfId="0" applyFont="1" applyFill="1" applyBorder="1" applyAlignment="1">
      <alignment horizontal="center" vertical="center" wrapText="1"/>
    </xf>
    <xf numFmtId="0" fontId="58" fillId="0" borderId="207" xfId="0" applyFont="1" applyFill="1" applyBorder="1" applyAlignment="1">
      <alignment horizontal="center" vertical="center" wrapText="1"/>
    </xf>
    <xf numFmtId="0" fontId="105" fillId="0" borderId="214" xfId="0" applyFont="1" applyFill="1" applyBorder="1" applyAlignment="1">
      <alignment horizontal="left" vertical="top" wrapText="1"/>
    </xf>
    <xf numFmtId="0" fontId="58" fillId="0" borderId="206"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105" fillId="0" borderId="219" xfId="0" applyFont="1" applyFill="1" applyBorder="1" applyAlignment="1">
      <alignment horizontal="left" vertical="top" wrapText="1"/>
    </xf>
    <xf numFmtId="0" fontId="105" fillId="0" borderId="51" xfId="0" applyFont="1" applyFill="1" applyBorder="1" applyAlignment="1">
      <alignment horizontal="left" wrapText="1"/>
    </xf>
    <xf numFmtId="0" fontId="58" fillId="0" borderId="215" xfId="0" applyFont="1" applyFill="1" applyBorder="1" applyAlignment="1">
      <alignment horizontal="center" vertical="center" wrapText="1"/>
    </xf>
    <xf numFmtId="0" fontId="58" fillId="0" borderId="216" xfId="0" applyFont="1" applyFill="1" applyBorder="1" applyAlignment="1">
      <alignment horizontal="center" vertical="center" wrapText="1"/>
    </xf>
    <xf numFmtId="0" fontId="66" fillId="0" borderId="51" xfId="0" applyFont="1" applyFill="1" applyBorder="1" applyAlignment="1">
      <alignment horizontal="center" vertical="top" wrapText="1"/>
    </xf>
    <xf numFmtId="0" fontId="66" fillId="0" borderId="51" xfId="0" applyFont="1" applyFill="1" applyBorder="1" applyAlignment="1">
      <alignment horizontal="left" vertical="top" wrapText="1" indent="1"/>
    </xf>
    <xf numFmtId="0" fontId="66" fillId="0" borderId="51" xfId="0" applyFont="1" applyFill="1" applyBorder="1" applyAlignment="1">
      <alignment horizontal="left" vertical="top" wrapText="1"/>
    </xf>
    <xf numFmtId="0" fontId="66" fillId="0" borderId="208" xfId="0" applyFont="1" applyFill="1" applyBorder="1" applyAlignment="1">
      <alignment horizontal="left" vertical="center" wrapText="1" indent="6"/>
    </xf>
    <xf numFmtId="0" fontId="66" fillId="0" borderId="207" xfId="0" applyFont="1" applyFill="1" applyBorder="1" applyAlignment="1">
      <alignment horizontal="left" vertical="center" wrapText="1" indent="6"/>
    </xf>
    <xf numFmtId="0" fontId="66" fillId="0" borderId="206" xfId="0" applyFont="1" applyFill="1" applyBorder="1" applyAlignment="1">
      <alignment horizontal="left" vertical="center" wrapText="1" indent="6"/>
    </xf>
    <xf numFmtId="0" fontId="66" fillId="0" borderId="0" xfId="0" applyFont="1" applyFill="1" applyBorder="1" applyAlignment="1">
      <alignment horizontal="left" vertical="center" wrapText="1" indent="6"/>
    </xf>
    <xf numFmtId="0" fontId="66" fillId="0" borderId="215" xfId="0" applyFont="1" applyFill="1" applyBorder="1" applyAlignment="1">
      <alignment horizontal="left" vertical="center" wrapText="1" indent="6"/>
    </xf>
    <xf numFmtId="0" fontId="66" fillId="0" borderId="216" xfId="0" applyFont="1" applyFill="1" applyBorder="1" applyAlignment="1">
      <alignment horizontal="left" vertical="center" wrapText="1" indent="6"/>
    </xf>
    <xf numFmtId="1" fontId="107" fillId="0" borderId="51" xfId="0" applyNumberFormat="1" applyFont="1" applyFill="1" applyBorder="1" applyAlignment="1">
      <alignment horizontal="center" vertical="top" shrinkToFit="1"/>
    </xf>
    <xf numFmtId="1" fontId="107" fillId="0" borderId="51" xfId="0" applyNumberFormat="1" applyFont="1" applyFill="1" applyBorder="1" applyAlignment="1">
      <alignment horizontal="right" vertical="center" shrinkToFit="1"/>
    </xf>
    <xf numFmtId="0" fontId="58" fillId="0" borderId="51" xfId="0" applyFont="1" applyFill="1" applyBorder="1" applyAlignment="1">
      <alignment horizontal="left" vertical="top" wrapText="1" indent="1"/>
    </xf>
    <xf numFmtId="1" fontId="107" fillId="0" borderId="51" xfId="0" applyNumberFormat="1" applyFont="1" applyFill="1" applyBorder="1" applyAlignment="1">
      <alignment horizontal="right" vertical="top" shrinkToFit="1"/>
    </xf>
    <xf numFmtId="0" fontId="105" fillId="0" borderId="51" xfId="0" applyFont="1" applyFill="1" applyBorder="1" applyAlignment="1">
      <alignment horizontal="left" vertical="center" wrapText="1"/>
    </xf>
    <xf numFmtId="0" fontId="66" fillId="0" borderId="210" xfId="0" applyFont="1" applyFill="1" applyBorder="1" applyAlignment="1">
      <alignment horizontal="left" vertical="top" wrapText="1" indent="5"/>
    </xf>
    <xf numFmtId="0" fontId="110" fillId="16" borderId="0" xfId="0" applyFont="1" applyFill="1"/>
    <xf numFmtId="0" fontId="111" fillId="16" borderId="0" xfId="0" applyFont="1" applyFill="1" applyAlignment="1">
      <alignment wrapText="1"/>
    </xf>
    <xf numFmtId="0" fontId="111" fillId="16" borderId="0" xfId="0" applyFont="1" applyFill="1"/>
    <xf numFmtId="0" fontId="100" fillId="2" borderId="208" xfId="0" applyFont="1" applyFill="1" applyBorder="1" applyAlignment="1">
      <alignment horizontal="left" vertical="center" wrapText="1" indent="6"/>
    </xf>
    <xf numFmtId="0" fontId="91" fillId="2" borderId="213" xfId="0" applyFont="1" applyFill="1" applyBorder="1" applyAlignment="1">
      <alignment horizontal="left" vertical="center" wrapText="1" indent="6"/>
    </xf>
    <xf numFmtId="0" fontId="100" fillId="2" borderId="214" xfId="0" applyFont="1" applyFill="1" applyBorder="1" applyAlignment="1">
      <alignment horizontal="left" textRotation="90" wrapText="1"/>
    </xf>
    <xf numFmtId="0" fontId="109" fillId="14" borderId="214" xfId="0" applyFont="1" applyFill="1" applyBorder="1" applyAlignment="1">
      <alignment horizontal="left" textRotation="90" wrapText="1"/>
    </xf>
    <xf numFmtId="0" fontId="109" fillId="14" borderId="208" xfId="0" applyFont="1" applyFill="1" applyBorder="1" applyAlignment="1">
      <alignment horizontal="left" textRotation="90" wrapText="1"/>
    </xf>
    <xf numFmtId="0" fontId="109" fillId="14" borderId="213" xfId="0" applyFont="1" applyFill="1" applyBorder="1" applyAlignment="1">
      <alignment horizontal="left" textRotation="90" wrapText="1"/>
    </xf>
    <xf numFmtId="0" fontId="112" fillId="17" borderId="215" xfId="0" applyFont="1" applyFill="1" applyBorder="1" applyAlignment="1">
      <alignment horizontal="center" vertical="top" wrapText="1"/>
    </xf>
    <xf numFmtId="0" fontId="91" fillId="14" borderId="51" xfId="0" applyFont="1" applyFill="1" applyBorder="1" applyAlignment="1">
      <alignment horizontal="center" vertical="top" wrapText="1"/>
    </xf>
    <xf numFmtId="2" fontId="90" fillId="14" borderId="51" xfId="0" applyNumberFormat="1" applyFont="1" applyFill="1" applyBorder="1" applyAlignment="1">
      <alignment horizontal="center" vertical="top" shrinkToFit="1"/>
    </xf>
    <xf numFmtId="165" fontId="90" fillId="14" borderId="51" xfId="0" applyNumberFormat="1" applyFont="1" applyFill="1" applyBorder="1" applyAlignment="1">
      <alignment horizontal="center" vertical="top" shrinkToFit="1"/>
    </xf>
    <xf numFmtId="2" fontId="90" fillId="14" borderId="51" xfId="0" applyNumberFormat="1" applyFont="1" applyFill="1" applyBorder="1" applyAlignment="1">
      <alignment horizontal="left" vertical="top" indent="1" shrinkToFit="1"/>
    </xf>
    <xf numFmtId="165" fontId="90" fillId="14" borderId="51" xfId="0" applyNumberFormat="1" applyFont="1" applyFill="1" applyBorder="1" applyAlignment="1">
      <alignment horizontal="left" vertical="top" indent="1" shrinkToFit="1"/>
    </xf>
    <xf numFmtId="165" fontId="90" fillId="14" borderId="214" xfId="0" applyNumberFormat="1" applyFont="1" applyFill="1" applyBorder="1" applyAlignment="1">
      <alignment horizontal="left" vertical="center" shrinkToFit="1"/>
    </xf>
    <xf numFmtId="2" fontId="90" fillId="14" borderId="214" xfId="0" applyNumberFormat="1" applyFont="1" applyFill="1" applyBorder="1" applyAlignment="1">
      <alignment horizontal="left" vertical="center" shrinkToFit="1"/>
    </xf>
    <xf numFmtId="165" fontId="90" fillId="14" borderId="214" xfId="0" applyNumberFormat="1" applyFont="1" applyFill="1" applyBorder="1" applyAlignment="1">
      <alignment horizontal="left" vertical="center" indent="1" shrinkToFit="1"/>
    </xf>
    <xf numFmtId="0" fontId="114" fillId="17" borderId="210" xfId="0" applyFont="1" applyFill="1" applyBorder="1" applyAlignment="1">
      <alignment horizontal="center" vertical="top" wrapText="1"/>
    </xf>
    <xf numFmtId="1" fontId="101" fillId="14" borderId="51" xfId="0" applyNumberFormat="1" applyFont="1" applyFill="1" applyBorder="1" applyAlignment="1">
      <alignment horizontal="center" vertical="top" shrinkToFit="1"/>
    </xf>
    <xf numFmtId="0" fontId="45" fillId="14" borderId="101" xfId="0" applyFont="1" applyFill="1" applyBorder="1" applyAlignment="1">
      <alignment horizontal="center" wrapText="1"/>
    </xf>
    <xf numFmtId="0" fontId="0" fillId="14" borderId="63" xfId="0" applyFill="1" applyBorder="1" applyAlignment="1">
      <alignment horizontal="center" wrapText="1"/>
    </xf>
    <xf numFmtId="0" fontId="0" fillId="14" borderId="84" xfId="0" applyFill="1" applyBorder="1" applyAlignment="1">
      <alignment horizontal="center" wrapText="1"/>
    </xf>
    <xf numFmtId="0" fontId="0" fillId="14" borderId="0" xfId="0" applyFill="1" applyAlignment="1">
      <alignment wrapText="1"/>
    </xf>
    <xf numFmtId="0" fontId="115" fillId="0" borderId="70" xfId="0" applyFont="1" applyFill="1" applyBorder="1" applyAlignment="1">
      <alignment horizontal="center" vertical="center" wrapText="1"/>
    </xf>
    <xf numFmtId="0" fontId="116" fillId="0" borderId="70" xfId="0" applyFont="1" applyFill="1" applyBorder="1" applyAlignment="1">
      <alignment horizontal="center" vertical="center" wrapText="1"/>
    </xf>
    <xf numFmtId="0" fontId="117" fillId="6" borderId="0" xfId="0" applyFont="1" applyFill="1" applyAlignment="1">
      <alignment horizontal="center" vertical="center" wrapText="1"/>
    </xf>
    <xf numFmtId="0" fontId="118" fillId="18" borderId="103" xfId="0" applyFont="1" applyFill="1" applyBorder="1" applyAlignment="1">
      <alignment horizontal="center" vertical="center" wrapText="1"/>
    </xf>
    <xf numFmtId="0" fontId="118" fillId="6" borderId="104" xfId="0" applyFont="1" applyFill="1" applyBorder="1" applyAlignment="1">
      <alignment horizontal="center" vertical="center" wrapText="1"/>
    </xf>
    <xf numFmtId="0" fontId="118" fillId="6" borderId="105" xfId="0" applyFont="1" applyFill="1" applyBorder="1" applyAlignment="1">
      <alignment horizontal="center" vertical="center" wrapText="1"/>
    </xf>
    <xf numFmtId="0" fontId="119" fillId="6" borderId="0" xfId="0" applyFont="1" applyFill="1" applyAlignment="1">
      <alignment horizontal="center" vertical="center"/>
    </xf>
    <xf numFmtId="0" fontId="120" fillId="0" borderId="0" xfId="0" applyFont="1"/>
    <xf numFmtId="0" fontId="121" fillId="0" borderId="0" xfId="0" applyFont="1" applyAlignment="1">
      <alignment vertical="center"/>
    </xf>
    <xf numFmtId="167" fontId="121" fillId="6" borderId="0" xfId="0" applyNumberFormat="1" applyFont="1" applyFill="1" applyAlignment="1">
      <alignment vertical="center"/>
    </xf>
    <xf numFmtId="167" fontId="121" fillId="18" borderId="0" xfId="0" applyNumberFormat="1" applyFont="1" applyFill="1" applyAlignment="1">
      <alignment vertical="center"/>
    </xf>
    <xf numFmtId="0" fontId="122" fillId="6" borderId="0" xfId="0" applyFont="1" applyFill="1" applyAlignment="1">
      <alignment horizontal="right" vertical="center" wrapText="1"/>
    </xf>
    <xf numFmtId="0" fontId="123" fillId="0" borderId="0" xfId="0" applyFont="1" applyAlignment="1">
      <alignment horizontal="right" vertical="center" wrapText="1"/>
    </xf>
    <xf numFmtId="0" fontId="116" fillId="18" borderId="70" xfId="0" applyFont="1" applyFill="1" applyBorder="1" applyAlignment="1">
      <alignment vertical="center"/>
    </xf>
    <xf numFmtId="0" fontId="116" fillId="18" borderId="220" xfId="0" applyFont="1" applyFill="1" applyBorder="1" applyAlignment="1">
      <alignment horizontal="center" vertical="center"/>
    </xf>
    <xf numFmtId="2" fontId="124" fillId="6" borderId="0" xfId="0" applyNumberFormat="1" applyFont="1" applyFill="1" applyAlignment="1">
      <alignment horizontal="center" vertical="center"/>
    </xf>
    <xf numFmtId="10" fontId="121" fillId="2" borderId="221" xfId="0" applyNumberFormat="1" applyFont="1" applyFill="1" applyBorder="1" applyAlignment="1">
      <alignment vertical="center" wrapText="1"/>
    </xf>
    <xf numFmtId="0" fontId="0" fillId="2" borderId="222" xfId="0" applyFill="1" applyBorder="1" applyAlignment="1">
      <alignment vertical="center" wrapText="1"/>
    </xf>
    <xf numFmtId="0" fontId="0" fillId="2" borderId="220" xfId="0" applyFill="1" applyBorder="1" applyAlignment="1">
      <alignment vertical="center" wrapText="1"/>
    </xf>
    <xf numFmtId="0" fontId="125" fillId="6" borderId="0" xfId="0" applyFont="1" applyFill="1" applyAlignment="1">
      <alignment vertical="center"/>
    </xf>
    <xf numFmtId="0" fontId="121" fillId="0" borderId="9" xfId="0" applyFont="1" applyBorder="1" applyAlignment="1">
      <alignment vertical="center"/>
    </xf>
    <xf numFmtId="0" fontId="124" fillId="0" borderId="9" xfId="0" applyFont="1" applyBorder="1" applyAlignment="1">
      <alignment horizontal="center" vertical="center"/>
    </xf>
    <xf numFmtId="2" fontId="126" fillId="6" borderId="0" xfId="0" applyNumberFormat="1" applyFont="1" applyFill="1" applyAlignment="1">
      <alignment horizontal="center" vertical="center"/>
    </xf>
    <xf numFmtId="167" fontId="121" fillId="18" borderId="9" xfId="0" applyNumberFormat="1" applyFont="1" applyFill="1" applyBorder="1" applyAlignment="1">
      <alignment horizontal="right" vertical="center"/>
    </xf>
    <xf numFmtId="167" fontId="121" fillId="6" borderId="9" xfId="0" applyNumberFormat="1" applyFont="1" applyFill="1" applyBorder="1" applyAlignment="1">
      <alignment horizontal="right" vertical="center"/>
    </xf>
    <xf numFmtId="0" fontId="127" fillId="6" borderId="0" xfId="0" applyFont="1" applyFill="1" applyAlignment="1">
      <alignment vertical="center"/>
    </xf>
    <xf numFmtId="0" fontId="124" fillId="0" borderId="1" xfId="0" applyFont="1" applyBorder="1" applyAlignment="1">
      <alignment horizontal="center" vertical="center"/>
    </xf>
    <xf numFmtId="0" fontId="128" fillId="6" borderId="0" xfId="0" applyFont="1" applyFill="1" applyAlignment="1">
      <alignment vertical="center"/>
    </xf>
    <xf numFmtId="0" fontId="121" fillId="6" borderId="0" xfId="0" applyFont="1" applyFill="1" applyAlignment="1">
      <alignment vertical="center"/>
    </xf>
    <xf numFmtId="0" fontId="121" fillId="18" borderId="0" xfId="0" applyFont="1" applyFill="1" applyAlignment="1">
      <alignment vertical="center"/>
    </xf>
    <xf numFmtId="0" fontId="121" fillId="0" borderId="1" xfId="0" applyFont="1" applyBorder="1" applyAlignment="1">
      <alignment vertical="center"/>
    </xf>
    <xf numFmtId="0" fontId="129" fillId="0" borderId="9" xfId="0" applyFont="1" applyBorder="1" applyAlignment="1">
      <alignment vertical="center"/>
    </xf>
    <xf numFmtId="0" fontId="130" fillId="0" borderId="9" xfId="0" applyFont="1" applyBorder="1" applyAlignment="1">
      <alignment horizontal="center" vertical="center"/>
    </xf>
    <xf numFmtId="2" fontId="131" fillId="6" borderId="0" xfId="0" applyNumberFormat="1" applyFont="1" applyFill="1" applyAlignment="1">
      <alignment horizontal="center" vertical="center"/>
    </xf>
    <xf numFmtId="167" fontId="129" fillId="18" borderId="9" xfId="0" applyNumberFormat="1" applyFont="1" applyFill="1" applyBorder="1" applyAlignment="1">
      <alignment horizontal="right" vertical="center"/>
    </xf>
    <xf numFmtId="167" fontId="129" fillId="6" borderId="9" xfId="0" applyNumberFormat="1" applyFont="1" applyFill="1" applyBorder="1" applyAlignment="1">
      <alignment horizontal="right" vertical="center"/>
    </xf>
    <xf numFmtId="0" fontId="132" fillId="6" borderId="0" xfId="0" applyFont="1" applyFill="1" applyAlignment="1">
      <alignment vertical="center"/>
    </xf>
    <xf numFmtId="0" fontId="121" fillId="0" borderId="9" xfId="0" applyFont="1" applyBorder="1" applyAlignment="1">
      <alignment horizontal="left" vertical="center"/>
    </xf>
    <xf numFmtId="0" fontId="126" fillId="6" borderId="0" xfId="0" applyFont="1" applyFill="1" applyAlignment="1">
      <alignment vertical="center"/>
    </xf>
    <xf numFmtId="0" fontId="121" fillId="0" borderId="1" xfId="0" applyFont="1" applyBorder="1" applyAlignment="1">
      <alignment horizontal="left" vertical="center"/>
    </xf>
    <xf numFmtId="2" fontId="121" fillId="6" borderId="0" xfId="0" applyNumberFormat="1" applyFont="1" applyFill="1" applyAlignment="1">
      <alignment horizontal="center" vertical="center"/>
    </xf>
    <xf numFmtId="0" fontId="121" fillId="0" borderId="1" xfId="0" applyFont="1" applyFill="1" applyBorder="1" applyAlignment="1">
      <alignment horizontal="left" vertical="center"/>
    </xf>
    <xf numFmtId="0" fontId="124" fillId="0" borderId="1" xfId="0" applyFont="1" applyFill="1" applyBorder="1" applyAlignment="1">
      <alignment horizontal="center" vertical="center"/>
    </xf>
    <xf numFmtId="0" fontId="129" fillId="0" borderId="1" xfId="0" applyFont="1" applyBorder="1" applyAlignment="1">
      <alignment vertical="center"/>
    </xf>
    <xf numFmtId="0" fontId="130" fillId="0" borderId="1" xfId="0" applyFont="1" applyBorder="1" applyAlignment="1">
      <alignment horizontal="center" vertical="center"/>
    </xf>
    <xf numFmtId="9" fontId="129" fillId="18" borderId="0" xfId="0" applyNumberFormat="1" applyFont="1" applyFill="1" applyAlignment="1">
      <alignment vertical="center"/>
    </xf>
    <xf numFmtId="0" fontId="121" fillId="6" borderId="0" xfId="0" applyFont="1" applyFill="1" applyBorder="1" applyAlignment="1">
      <alignment vertical="center"/>
    </xf>
    <xf numFmtId="0" fontId="121" fillId="18" borderId="0" xfId="0" applyFont="1" applyFill="1" applyBorder="1" applyAlignment="1">
      <alignment vertical="center"/>
    </xf>
    <xf numFmtId="0" fontId="124" fillId="2" borderId="70" xfId="0" applyFont="1" applyFill="1" applyBorder="1" applyAlignment="1">
      <alignment horizontal="left" vertical="center"/>
    </xf>
    <xf numFmtId="0" fontId="0" fillId="0" borderId="0" xfId="0" applyAlignment="1">
      <alignment vertical="center" wrapText="1"/>
    </xf>
    <xf numFmtId="0" fontId="124" fillId="2" borderId="114" xfId="0" applyFont="1" applyFill="1" applyBorder="1" applyAlignment="1">
      <alignment horizontal="left" vertical="center" wrapText="1"/>
    </xf>
    <xf numFmtId="0" fontId="0" fillId="2" borderId="114" xfId="0" applyFill="1" applyBorder="1" applyAlignment="1">
      <alignment vertical="center" wrapText="1"/>
    </xf>
    <xf numFmtId="0" fontId="60" fillId="16" borderId="0" xfId="0" applyFont="1" applyFill="1" applyAlignment="1">
      <alignment vertical="center"/>
    </xf>
    <xf numFmtId="0" fontId="0" fillId="16" borderId="0" xfId="0" applyFill="1" applyAlignment="1">
      <alignment vertical="center" wrapText="1"/>
    </xf>
    <xf numFmtId="0" fontId="0" fillId="16" borderId="0" xfId="0" applyFill="1" applyAlignment="1">
      <alignment vertical="center"/>
    </xf>
    <xf numFmtId="0" fontId="38" fillId="6" borderId="0" xfId="0" applyFont="1" applyFill="1"/>
    <xf numFmtId="0" fontId="87" fillId="16" borderId="0" xfId="0" applyFont="1" applyFill="1" applyAlignment="1">
      <alignment vertical="center"/>
    </xf>
    <xf numFmtId="0" fontId="38" fillId="16" borderId="0" xfId="0" applyFont="1" applyFill="1" applyAlignment="1">
      <alignment vertical="center" wrapText="1"/>
    </xf>
    <xf numFmtId="0" fontId="133" fillId="0" borderId="70" xfId="0" applyFont="1" applyFill="1" applyBorder="1" applyAlignment="1">
      <alignment horizontal="center" vertical="center" wrapText="1"/>
    </xf>
    <xf numFmtId="0" fontId="124" fillId="0" borderId="68" xfId="0" applyFont="1" applyFill="1" applyBorder="1" applyAlignment="1">
      <alignment horizontal="center" vertical="center" wrapText="1"/>
    </xf>
    <xf numFmtId="0" fontId="124" fillId="6" borderId="0" xfId="0" applyFont="1" applyFill="1" applyAlignment="1">
      <alignment horizontal="center" vertical="center" wrapText="1"/>
    </xf>
    <xf numFmtId="0" fontId="134" fillId="6" borderId="103" xfId="0" applyFont="1" applyFill="1" applyBorder="1" applyAlignment="1">
      <alignment horizontal="center" vertical="center" wrapText="1"/>
    </xf>
    <xf numFmtId="0" fontId="134" fillId="6" borderId="104" xfId="0" applyFont="1" applyFill="1" applyBorder="1" applyAlignment="1">
      <alignment horizontal="center" vertical="center" wrapText="1"/>
    </xf>
    <xf numFmtId="0" fontId="134" fillId="6" borderId="105" xfId="0" applyFont="1" applyFill="1" applyBorder="1" applyAlignment="1">
      <alignment horizontal="center" vertical="center" wrapText="1"/>
    </xf>
    <xf numFmtId="0" fontId="122" fillId="6" borderId="0" xfId="0" applyFont="1" applyFill="1" applyBorder="1" applyAlignment="1">
      <alignment vertical="center"/>
    </xf>
    <xf numFmtId="0" fontId="135" fillId="6" borderId="0" xfId="0" applyFont="1" applyFill="1" applyAlignment="1">
      <alignment vertical="center"/>
    </xf>
    <xf numFmtId="0" fontId="124" fillId="18" borderId="70" xfId="0" applyFont="1" applyFill="1" applyBorder="1" applyAlignment="1">
      <alignment vertical="center"/>
    </xf>
    <xf numFmtId="0" fontId="124" fillId="18" borderId="220" xfId="0" applyFont="1" applyFill="1" applyBorder="1" applyAlignment="1">
      <alignment horizontal="center" vertical="center"/>
    </xf>
    <xf numFmtId="0" fontId="121" fillId="6" borderId="9" xfId="0" applyFont="1" applyFill="1" applyBorder="1" applyAlignment="1">
      <alignment vertical="center"/>
    </xf>
    <xf numFmtId="0" fontId="124" fillId="6" borderId="1" xfId="0" applyFont="1" applyFill="1" applyBorder="1" applyAlignment="1">
      <alignment horizontal="center" vertical="center"/>
    </xf>
    <xf numFmtId="0" fontId="121" fillId="6" borderId="0" xfId="0" applyFont="1" applyFill="1" applyAlignment="1">
      <alignment horizontal="center" vertical="center"/>
    </xf>
    <xf numFmtId="0" fontId="121" fillId="6" borderId="12" xfId="0" applyFont="1" applyFill="1" applyBorder="1" applyAlignment="1">
      <alignment vertical="center"/>
    </xf>
    <xf numFmtId="0" fontId="124" fillId="6" borderId="12" xfId="0" applyFont="1" applyFill="1" applyBorder="1" applyAlignment="1">
      <alignment horizontal="center" vertical="center"/>
    </xf>
    <xf numFmtId="167" fontId="121" fillId="18" borderId="54" xfId="0" applyNumberFormat="1" applyFont="1" applyFill="1" applyBorder="1" applyAlignment="1">
      <alignment horizontal="right" vertical="center"/>
    </xf>
    <xf numFmtId="167" fontId="121" fillId="6" borderId="54" xfId="0" applyNumberFormat="1" applyFont="1" applyFill="1" applyBorder="1" applyAlignment="1">
      <alignment horizontal="right" vertical="center"/>
    </xf>
    <xf numFmtId="0" fontId="121" fillId="6" borderId="121" xfId="0" applyFont="1" applyFill="1" applyBorder="1" applyAlignment="1">
      <alignment vertical="center"/>
    </xf>
    <xf numFmtId="0" fontId="121" fillId="6" borderId="121" xfId="0" applyFont="1" applyFill="1" applyBorder="1" applyAlignment="1">
      <alignment horizontal="center" vertical="center"/>
    </xf>
    <xf numFmtId="0" fontId="121" fillId="6" borderId="0" xfId="0" applyFont="1" applyFill="1" applyBorder="1" applyAlignment="1">
      <alignment horizontal="center" vertical="center"/>
    </xf>
    <xf numFmtId="167" fontId="121" fillId="18" borderId="121" xfId="0" applyNumberFormat="1" applyFont="1" applyFill="1" applyBorder="1" applyAlignment="1">
      <alignment horizontal="right" vertical="center"/>
    </xf>
    <xf numFmtId="167" fontId="121" fillId="6" borderId="121" xfId="0" applyNumberFormat="1" applyFont="1" applyFill="1" applyBorder="1" applyAlignment="1">
      <alignment horizontal="right" vertical="center"/>
    </xf>
    <xf numFmtId="167" fontId="121" fillId="18" borderId="0" xfId="0" applyNumberFormat="1" applyFont="1" applyFill="1" applyBorder="1" applyAlignment="1">
      <alignment horizontal="right" vertical="center"/>
    </xf>
    <xf numFmtId="167" fontId="121" fillId="6" borderId="0" xfId="0" applyNumberFormat="1" applyFont="1" applyFill="1" applyBorder="1" applyAlignment="1">
      <alignment horizontal="right" vertical="center"/>
    </xf>
    <xf numFmtId="2" fontId="124" fillId="6" borderId="0" xfId="0" applyNumberFormat="1" applyFont="1" applyFill="1" applyBorder="1" applyAlignment="1">
      <alignment horizontal="center" vertical="center"/>
    </xf>
    <xf numFmtId="167" fontId="121" fillId="18" borderId="1" xfId="0" applyNumberFormat="1" applyFont="1" applyFill="1" applyBorder="1" applyAlignment="1">
      <alignment horizontal="right" vertical="center"/>
    </xf>
    <xf numFmtId="167" fontId="121" fillId="6" borderId="1" xfId="0" applyNumberFormat="1" applyFont="1" applyFill="1" applyBorder="1" applyAlignment="1">
      <alignment horizontal="right" vertical="center"/>
    </xf>
    <xf numFmtId="0" fontId="121" fillId="6" borderId="1" xfId="0" applyFont="1" applyFill="1" applyBorder="1" applyAlignment="1">
      <alignment vertical="center"/>
    </xf>
    <xf numFmtId="0" fontId="121" fillId="2" borderId="0" xfId="0" applyFont="1" applyFill="1" applyAlignment="1">
      <alignment vertical="center"/>
    </xf>
    <xf numFmtId="9" fontId="121" fillId="6" borderId="0" xfId="0" applyNumberFormat="1" applyFont="1" applyFill="1" applyAlignment="1">
      <alignment vertical="center"/>
    </xf>
    <xf numFmtId="0" fontId="134" fillId="2" borderId="114" xfId="0" applyFont="1" applyFill="1" applyBorder="1" applyAlignment="1">
      <alignment horizontal="left" vertical="center" wrapText="1"/>
    </xf>
    <xf numFmtId="0" fontId="46" fillId="2" borderId="114" xfId="0" applyFont="1" applyFill="1" applyBorder="1" applyAlignment="1">
      <alignment vertical="center" wrapText="1"/>
    </xf>
    <xf numFmtId="0" fontId="124" fillId="6" borderId="0" xfId="0" applyFont="1" applyFill="1" applyBorder="1" applyAlignment="1">
      <alignment vertical="center"/>
    </xf>
    <xf numFmtId="0" fontId="46" fillId="0" borderId="0" xfId="0" applyFont="1" applyAlignment="1">
      <alignment vertical="center" wrapText="1"/>
    </xf>
    <xf numFmtId="0" fontId="37" fillId="16" borderId="0" xfId="0" applyFont="1" applyFill="1"/>
    <xf numFmtId="0" fontId="136" fillId="0" borderId="66" xfId="0" applyFont="1" applyFill="1" applyBorder="1" applyAlignment="1">
      <alignment horizontal="center" vertical="center" wrapText="1"/>
    </xf>
    <xf numFmtId="0" fontId="118" fillId="6" borderId="66" xfId="0" applyFont="1" applyFill="1" applyBorder="1" applyAlignment="1">
      <alignment horizontal="center" vertical="center" wrapText="1"/>
    </xf>
    <xf numFmtId="0" fontId="118" fillId="6" borderId="70" xfId="0" applyFont="1" applyFill="1" applyBorder="1" applyAlignment="1">
      <alignment horizontal="center" vertical="center" wrapText="1"/>
    </xf>
    <xf numFmtId="0" fontId="118" fillId="19" borderId="68" xfId="0" applyFont="1" applyFill="1" applyBorder="1" applyAlignment="1">
      <alignment horizontal="center" vertical="center" wrapText="1"/>
    </xf>
    <xf numFmtId="167" fontId="121" fillId="19" borderId="9" xfId="0" applyNumberFormat="1" applyFont="1" applyFill="1" applyBorder="1" applyAlignment="1">
      <alignment horizontal="right" vertical="center"/>
    </xf>
    <xf numFmtId="9" fontId="129" fillId="6" borderId="0" xfId="0" applyNumberFormat="1" applyFont="1" applyFill="1" applyAlignment="1">
      <alignment vertical="center"/>
    </xf>
    <xf numFmtId="167" fontId="121" fillId="19" borderId="1" xfId="0" applyNumberFormat="1" applyFont="1" applyFill="1" applyBorder="1" applyAlignment="1">
      <alignment horizontal="right" vertical="center"/>
    </xf>
    <xf numFmtId="0" fontId="128" fillId="17" borderId="1" xfId="0" applyFont="1" applyFill="1" applyBorder="1" applyAlignment="1">
      <alignment horizontal="left" vertical="center"/>
    </xf>
    <xf numFmtId="0" fontId="125" fillId="17" borderId="1" xfId="0" applyFont="1" applyFill="1" applyBorder="1" applyAlignment="1">
      <alignment horizontal="center" vertical="center"/>
    </xf>
    <xf numFmtId="2" fontId="128" fillId="17" borderId="0" xfId="0" applyNumberFormat="1" applyFont="1" applyFill="1" applyAlignment="1">
      <alignment horizontal="center" vertical="center"/>
    </xf>
    <xf numFmtId="167" fontId="128" fillId="17" borderId="9" xfId="0" applyNumberFormat="1" applyFont="1" applyFill="1" applyBorder="1" applyAlignment="1">
      <alignment horizontal="right" vertical="center"/>
    </xf>
    <xf numFmtId="0" fontId="116" fillId="2" borderId="0" xfId="0" applyFont="1" applyFill="1" applyAlignment="1">
      <alignment horizontal="left" vertical="center"/>
    </xf>
    <xf numFmtId="0" fontId="116" fillId="2" borderId="114" xfId="0" applyFont="1" applyFill="1" applyBorder="1" applyAlignment="1">
      <alignment horizontal="left" vertical="center" wrapText="1"/>
    </xf>
    <xf numFmtId="0" fontId="137" fillId="2" borderId="114" xfId="0" applyFont="1" applyFill="1" applyBorder="1" applyAlignment="1">
      <alignment vertical="center" wrapText="1"/>
    </xf>
    <xf numFmtId="0" fontId="125" fillId="20" borderId="0" xfId="0" applyFont="1" applyFill="1" applyAlignment="1">
      <alignment vertical="center"/>
    </xf>
    <xf numFmtId="0" fontId="128" fillId="20" borderId="0" xfId="0" applyFont="1" applyFill="1" applyAlignment="1">
      <alignment vertical="center"/>
    </xf>
    <xf numFmtId="0" fontId="121" fillId="20" borderId="0" xfId="0" applyFont="1" applyFill="1" applyAlignment="1">
      <alignment vertical="center"/>
    </xf>
    <xf numFmtId="0" fontId="137" fillId="0" borderId="0" xfId="0" applyFont="1" applyAlignment="1">
      <alignment vertical="center" wrapText="1"/>
    </xf>
    <xf numFmtId="0" fontId="118" fillId="0" borderId="70" xfId="0" applyFont="1" applyFill="1" applyBorder="1" applyAlignment="1">
      <alignment horizontal="center" vertical="center" wrapText="1"/>
    </xf>
    <xf numFmtId="0" fontId="140" fillId="16" borderId="0" xfId="0" applyFont="1" applyFill="1"/>
    <xf numFmtId="0" fontId="141" fillId="0" borderId="70" xfId="0" applyFont="1" applyFill="1" applyBorder="1" applyAlignment="1">
      <alignment horizontal="center" vertical="center" wrapText="1"/>
    </xf>
    <xf numFmtId="0" fontId="134" fillId="0" borderId="70" xfId="0" applyFont="1" applyFill="1" applyBorder="1" applyAlignment="1">
      <alignment horizontal="center" vertical="center" wrapText="1"/>
    </xf>
    <xf numFmtId="0" fontId="134" fillId="6" borderId="0" xfId="0" applyFont="1" applyFill="1" applyAlignment="1">
      <alignment horizontal="center" vertical="center" wrapText="1"/>
    </xf>
    <xf numFmtId="0" fontId="134" fillId="19" borderId="105" xfId="0" applyFont="1" applyFill="1" applyBorder="1" applyAlignment="1">
      <alignment horizontal="center" vertical="center" wrapText="1"/>
    </xf>
    <xf numFmtId="0" fontId="121" fillId="0" borderId="9" xfId="0" applyFont="1" applyBorder="1" applyAlignment="1">
      <alignment horizontal="center" vertical="center"/>
    </xf>
    <xf numFmtId="0" fontId="121" fillId="0" borderId="1" xfId="0" applyFont="1" applyBorder="1" applyAlignment="1">
      <alignment horizontal="center" vertical="center"/>
    </xf>
    <xf numFmtId="0" fontId="124" fillId="0" borderId="9" xfId="0" applyFont="1" applyBorder="1" applyAlignment="1">
      <alignment horizontal="left" vertical="center"/>
    </xf>
    <xf numFmtId="0" fontId="124" fillId="2" borderId="0" xfId="0" applyFont="1" applyFill="1" applyAlignment="1">
      <alignment horizontal="left" vertical="center"/>
    </xf>
    <xf numFmtId="0" fontId="128" fillId="2" borderId="0" xfId="0" applyFont="1" applyFill="1" applyAlignment="1">
      <alignment vertical="center"/>
    </xf>
    <xf numFmtId="14" fontId="128" fillId="20" borderId="0" xfId="0" applyNumberFormat="1" applyFont="1" applyFill="1" applyAlignment="1">
      <alignment vertical="center"/>
    </xf>
    <xf numFmtId="49" fontId="125" fillId="20" borderId="0" xfId="0" applyNumberFormat="1" applyFont="1" applyFill="1" applyAlignment="1">
      <alignment horizontal="left" vertical="center"/>
    </xf>
    <xf numFmtId="0" fontId="142" fillId="0" borderId="70" xfId="0" applyFont="1" applyFill="1" applyBorder="1" applyAlignment="1">
      <alignment horizontal="center" vertical="center" wrapText="1"/>
    </xf>
    <xf numFmtId="0" fontId="118" fillId="6" borderId="0" xfId="0" applyFont="1" applyFill="1" applyAlignment="1">
      <alignment horizontal="center" vertical="center" wrapText="1"/>
    </xf>
    <xf numFmtId="0" fontId="121" fillId="0" borderId="9" xfId="0" applyFont="1" applyFill="1" applyBorder="1" applyAlignment="1">
      <alignment horizontal="center" vertical="center"/>
    </xf>
    <xf numFmtId="0" fontId="121" fillId="0" borderId="1" xfId="0" applyFont="1" applyFill="1" applyBorder="1" applyAlignment="1">
      <alignment horizontal="center" vertical="center"/>
    </xf>
    <xf numFmtId="2" fontId="121" fillId="0" borderId="1" xfId="0" applyNumberFormat="1" applyFont="1" applyBorder="1" applyAlignment="1">
      <alignment vertical="center"/>
    </xf>
    <xf numFmtId="9" fontId="130" fillId="18" borderId="114" xfId="0" applyNumberFormat="1" applyFont="1" applyFill="1" applyBorder="1" applyAlignment="1">
      <alignment vertical="center" wrapText="1"/>
    </xf>
    <xf numFmtId="0" fontId="143" fillId="18" borderId="114" xfId="0" applyFont="1" applyFill="1" applyBorder="1" applyAlignment="1">
      <alignment vertical="center" wrapText="1"/>
    </xf>
    <xf numFmtId="0" fontId="124" fillId="6" borderId="0" xfId="0" applyFont="1" applyFill="1" applyAlignment="1">
      <alignment horizontal="left" vertical="center"/>
    </xf>
    <xf numFmtId="0" fontId="143" fillId="18" borderId="0" xfId="0" applyFont="1" applyFill="1" applyAlignment="1">
      <alignment vertical="center" wrapText="1"/>
    </xf>
    <xf numFmtId="0" fontId="139" fillId="16" borderId="0" xfId="0" applyFont="1" applyFill="1"/>
    <xf numFmtId="0" fontId="100" fillId="4" borderId="35" xfId="0" applyFont="1" applyFill="1" applyBorder="1" applyAlignment="1">
      <alignment horizontal="center" vertical="center" wrapText="1"/>
    </xf>
    <xf numFmtId="0" fontId="100" fillId="4" borderId="115" xfId="0" applyFont="1" applyFill="1" applyBorder="1" applyAlignment="1">
      <alignment horizontal="center" vertical="center" wrapText="1"/>
    </xf>
    <xf numFmtId="0" fontId="113" fillId="4" borderId="54" xfId="0" applyFont="1" applyFill="1" applyBorder="1" applyAlignment="1">
      <alignment horizontal="center" vertical="center" wrapText="1"/>
    </xf>
    <xf numFmtId="0" fontId="113" fillId="4" borderId="9" xfId="0" applyFont="1" applyFill="1" applyBorder="1" applyAlignment="1">
      <alignment horizontal="center"/>
    </xf>
    <xf numFmtId="0" fontId="113" fillId="4" borderId="54" xfId="0" applyFont="1" applyFill="1" applyBorder="1" applyAlignment="1">
      <alignment horizontal="center" vertical="distributed"/>
    </xf>
    <xf numFmtId="0" fontId="113" fillId="4" borderId="54" xfId="0" applyFont="1" applyFill="1" applyBorder="1" applyAlignment="1">
      <alignment horizontal="center" vertical="center"/>
    </xf>
    <xf numFmtId="2" fontId="66" fillId="4" borderId="119" xfId="0" applyNumberFormat="1" applyFont="1" applyFill="1" applyBorder="1" applyAlignment="1" applyProtection="1">
      <alignment horizontal="center" vertical="center" wrapText="1"/>
      <protection locked="0"/>
    </xf>
    <xf numFmtId="2" fontId="66" fillId="4" borderId="120" xfId="0" applyNumberFormat="1" applyFont="1" applyFill="1" applyBorder="1" applyAlignment="1" applyProtection="1">
      <alignment horizontal="center" vertical="center" wrapText="1"/>
      <protection locked="0"/>
    </xf>
    <xf numFmtId="0" fontId="100" fillId="4" borderId="27" xfId="0" applyFont="1" applyFill="1" applyBorder="1" applyAlignment="1">
      <alignment horizontal="center" vertical="center" wrapText="1"/>
    </xf>
    <xf numFmtId="0" fontId="100" fillId="4" borderId="118" xfId="0" applyFont="1" applyFill="1" applyBorder="1" applyAlignment="1">
      <alignment horizontal="center" vertical="center" wrapText="1"/>
    </xf>
    <xf numFmtId="0" fontId="113" fillId="4" borderId="9" xfId="0" applyFont="1" applyFill="1" applyBorder="1" applyAlignment="1">
      <alignment horizontal="center" vertical="center" wrapText="1"/>
    </xf>
    <xf numFmtId="0" fontId="113" fillId="4" borderId="9" xfId="0" applyFont="1" applyFill="1" applyBorder="1" applyAlignment="1">
      <alignment horizontal="center" vertical="distributed"/>
    </xf>
    <xf numFmtId="0" fontId="113" fillId="4" borderId="9" xfId="0" applyFont="1" applyFill="1" applyBorder="1" applyAlignment="1">
      <alignment horizontal="center" vertical="center"/>
    </xf>
    <xf numFmtId="2" fontId="67" fillId="4" borderId="9" xfId="0" applyNumberFormat="1" applyFont="1" applyFill="1" applyBorder="1" applyAlignment="1" applyProtection="1">
      <alignment horizontal="center" vertical="center" wrapText="1"/>
      <protection locked="0"/>
    </xf>
    <xf numFmtId="0" fontId="144" fillId="0" borderId="69" xfId="0" applyFont="1" applyFill="1" applyBorder="1" applyAlignment="1">
      <alignment horizontal="center" vertical="center" wrapText="1"/>
    </xf>
    <xf numFmtId="0" fontId="144" fillId="0" borderId="116" xfId="0" applyFont="1" applyFill="1" applyBorder="1" applyAlignment="1">
      <alignment horizontal="center" vertical="center" wrapText="1"/>
    </xf>
    <xf numFmtId="0" fontId="59" fillId="0" borderId="1" xfId="0" applyFont="1" applyFill="1" applyBorder="1" applyAlignment="1">
      <alignment horizontal="center" vertical="center" wrapText="1"/>
    </xf>
    <xf numFmtId="166" fontId="27" fillId="0" borderId="1" xfId="0" applyNumberFormat="1" applyFont="1" applyFill="1" applyBorder="1" applyAlignment="1">
      <alignment horizontal="center" vertical="center"/>
    </xf>
    <xf numFmtId="2" fontId="27" fillId="0" borderId="1" xfId="0" applyNumberFormat="1" applyFont="1" applyFill="1" applyBorder="1" applyAlignment="1">
      <alignment horizontal="center" vertical="center"/>
    </xf>
    <xf numFmtId="1" fontId="27" fillId="0" borderId="1" xfId="0" applyNumberFormat="1" applyFont="1" applyFill="1" applyBorder="1" applyAlignment="1">
      <alignment horizontal="center" vertical="center"/>
    </xf>
    <xf numFmtId="1" fontId="59" fillId="0" borderId="1" xfId="0" applyNumberFormat="1" applyFont="1" applyFill="1" applyBorder="1" applyAlignment="1">
      <alignment horizontal="center" vertical="center" wrapText="1"/>
    </xf>
    <xf numFmtId="2" fontId="146" fillId="0" borderId="1" xfId="0" applyNumberFormat="1" applyFont="1" applyFill="1" applyBorder="1" applyAlignment="1" applyProtection="1">
      <alignment horizontal="center" vertical="center" wrapText="1"/>
      <protection locked="0"/>
    </xf>
    <xf numFmtId="0" fontId="144" fillId="0" borderId="27" xfId="0" applyFont="1" applyFill="1" applyBorder="1" applyAlignment="1">
      <alignment vertical="center" wrapText="1"/>
    </xf>
    <xf numFmtId="0" fontId="144" fillId="0" borderId="118" xfId="0" applyFont="1" applyFill="1" applyBorder="1" applyAlignment="1">
      <alignment vertical="center" wrapText="1"/>
    </xf>
    <xf numFmtId="0" fontId="144" fillId="0" borderId="1" xfId="0" applyFont="1" applyFill="1" applyBorder="1" applyAlignment="1">
      <alignment horizontal="center" vertical="center" wrapText="1"/>
    </xf>
    <xf numFmtId="1" fontId="147" fillId="0" borderId="1" xfId="0" applyNumberFormat="1" applyFont="1" applyFill="1" applyBorder="1" applyAlignment="1">
      <alignment horizontal="center" vertical="center" wrapText="1"/>
    </xf>
    <xf numFmtId="2" fontId="146" fillId="0" borderId="9" xfId="0" applyNumberFormat="1" applyFont="1" applyFill="1" applyBorder="1" applyAlignment="1" applyProtection="1">
      <alignment horizontal="center" vertical="center" wrapText="1"/>
      <protection locked="0"/>
    </xf>
    <xf numFmtId="0" fontId="113" fillId="4" borderId="12" xfId="0" applyFont="1" applyFill="1" applyBorder="1" applyAlignment="1">
      <alignment horizontal="center" vertical="center" wrapText="1"/>
    </xf>
    <xf numFmtId="0" fontId="149" fillId="4" borderId="12" xfId="0" applyFont="1" applyFill="1" applyBorder="1" applyAlignment="1">
      <alignment horizontal="center" vertical="center"/>
    </xf>
    <xf numFmtId="0" fontId="149" fillId="4" borderId="12" xfId="0" applyFont="1" applyFill="1" applyBorder="1" applyAlignment="1">
      <alignment horizontal="center" vertical="distributed"/>
    </xf>
    <xf numFmtId="0" fontId="149" fillId="4" borderId="9" xfId="0" applyFont="1" applyFill="1" applyBorder="1" applyAlignment="1">
      <alignment horizontal="center" vertical="center"/>
    </xf>
    <xf numFmtId="0" fontId="149" fillId="4" borderId="9" xfId="0" applyFont="1" applyFill="1" applyBorder="1" applyAlignment="1">
      <alignment horizontal="center" vertical="distributed"/>
    </xf>
    <xf numFmtId="0" fontId="144" fillId="0" borderId="35" xfId="0" applyFont="1" applyFill="1" applyBorder="1" applyAlignment="1">
      <alignment horizontal="center" vertical="center" wrapText="1"/>
    </xf>
    <xf numFmtId="0" fontId="144" fillId="0" borderId="115" xfId="0" applyFont="1" applyFill="1" applyBorder="1" applyAlignment="1">
      <alignment horizontal="center" vertical="center" wrapText="1"/>
    </xf>
    <xf numFmtId="0" fontId="59" fillId="0" borderId="12" xfId="0" applyFont="1" applyFill="1" applyBorder="1" applyAlignment="1">
      <alignment horizontal="center" vertical="center" wrapText="1"/>
    </xf>
    <xf numFmtId="166" fontId="150" fillId="0" borderId="12" xfId="0" applyNumberFormat="1" applyFont="1" applyFill="1" applyBorder="1" applyAlignment="1">
      <alignment horizontal="center" vertical="center"/>
    </xf>
    <xf numFmtId="2" fontId="150" fillId="0" borderId="12" xfId="0" applyNumberFormat="1" applyFont="1" applyFill="1" applyBorder="1" applyAlignment="1">
      <alignment horizontal="center" vertical="center"/>
    </xf>
    <xf numFmtId="1" fontId="150" fillId="0" borderId="12" xfId="0" applyNumberFormat="1" applyFont="1" applyFill="1" applyBorder="1" applyAlignment="1">
      <alignment horizontal="center" vertical="center"/>
    </xf>
    <xf numFmtId="1" fontId="151" fillId="0" borderId="119" xfId="0" applyNumberFormat="1" applyFont="1" applyFill="1" applyBorder="1" applyAlignment="1">
      <alignment horizontal="center" vertical="center" wrapText="1"/>
    </xf>
    <xf numFmtId="4" fontId="146" fillId="0" borderId="1" xfId="0" applyNumberFormat="1" applyFont="1" applyFill="1" applyBorder="1" applyAlignment="1" applyProtection="1">
      <alignment horizontal="center" vertical="center" wrapText="1"/>
      <protection locked="0"/>
    </xf>
    <xf numFmtId="0" fontId="59" fillId="0" borderId="54" xfId="0" applyFont="1" applyFill="1" applyBorder="1" applyAlignment="1">
      <alignment horizontal="center" vertical="center" wrapText="1"/>
    </xf>
    <xf numFmtId="166" fontId="150" fillId="0" borderId="54" xfId="0" applyNumberFormat="1" applyFont="1" applyFill="1" applyBorder="1" applyAlignment="1">
      <alignment horizontal="center" vertical="center"/>
    </xf>
    <xf numFmtId="2" fontId="150" fillId="0" borderId="54" xfId="0" applyNumberFormat="1" applyFont="1" applyFill="1" applyBorder="1" applyAlignment="1">
      <alignment horizontal="center" vertical="center"/>
    </xf>
    <xf numFmtId="1" fontId="150" fillId="0" borderId="54" xfId="0" applyNumberFormat="1" applyFont="1" applyFill="1" applyBorder="1" applyAlignment="1">
      <alignment horizontal="center" vertical="center"/>
    </xf>
    <xf numFmtId="0" fontId="113" fillId="4" borderId="12" xfId="0" applyFont="1" applyFill="1" applyBorder="1" applyAlignment="1">
      <alignment horizontal="center" vertical="center"/>
    </xf>
    <xf numFmtId="0" fontId="113" fillId="4" borderId="12" xfId="0" applyFont="1" applyFill="1" applyBorder="1" applyAlignment="1">
      <alignment horizontal="center" vertical="distributed"/>
    </xf>
    <xf numFmtId="0" fontId="59" fillId="0" borderId="12" xfId="0" applyFont="1" applyFill="1" applyBorder="1" applyAlignment="1">
      <alignment vertical="center" wrapText="1"/>
    </xf>
    <xf numFmtId="1" fontId="27" fillId="0" borderId="119" xfId="0" applyNumberFormat="1" applyFont="1" applyFill="1" applyBorder="1" applyAlignment="1">
      <alignment horizontal="center" vertical="center"/>
    </xf>
    <xf numFmtId="2" fontId="153"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lignment horizontal="center" vertical="center" wrapText="1"/>
    </xf>
    <xf numFmtId="0" fontId="113" fillId="4" borderId="35" xfId="0" applyFont="1" applyFill="1" applyBorder="1" applyAlignment="1">
      <alignment horizontal="center" vertical="center" wrapText="1"/>
    </xf>
    <xf numFmtId="0" fontId="113" fillId="4" borderId="115" xfId="0" applyFont="1" applyFill="1" applyBorder="1" applyAlignment="1">
      <alignment horizontal="center" vertical="center" wrapText="1"/>
    </xf>
    <xf numFmtId="2" fontId="66" fillId="4" borderId="35" xfId="0" applyNumberFormat="1" applyFont="1" applyFill="1" applyBorder="1" applyAlignment="1" applyProtection="1">
      <alignment horizontal="center" vertical="center" wrapText="1"/>
      <protection locked="0"/>
    </xf>
    <xf numFmtId="0" fontId="113" fillId="4" borderId="27" xfId="0" applyFont="1" applyFill="1" applyBorder="1" applyAlignment="1">
      <alignment horizontal="center" vertical="center" wrapText="1"/>
    </xf>
    <xf numFmtId="0" fontId="113" fillId="4" borderId="118" xfId="0" applyFont="1" applyFill="1" applyBorder="1" applyAlignment="1">
      <alignment horizontal="center" vertical="center" wrapText="1"/>
    </xf>
    <xf numFmtId="0" fontId="0" fillId="0" borderId="27" xfId="0" applyBorder="1" applyAlignment="1">
      <alignment horizontal="center" vertical="center"/>
    </xf>
    <xf numFmtId="0" fontId="0" fillId="0" borderId="118" xfId="0" applyBorder="1" applyAlignment="1">
      <alignment horizontal="center" vertical="center"/>
    </xf>
    <xf numFmtId="0" fontId="100" fillId="0" borderId="35" xfId="0" applyFont="1" applyFill="1" applyBorder="1" applyAlignment="1">
      <alignment horizontal="center" vertical="center" wrapText="1"/>
    </xf>
    <xf numFmtId="0" fontId="100" fillId="0" borderId="115" xfId="0" applyFont="1" applyFill="1" applyBorder="1" applyAlignment="1">
      <alignment horizontal="center" vertical="center" wrapText="1"/>
    </xf>
    <xf numFmtId="0" fontId="59" fillId="0" borderId="35" xfId="0" applyFont="1" applyFill="1" applyBorder="1" applyAlignment="1">
      <alignment horizontal="center" vertical="center" wrapText="1"/>
    </xf>
    <xf numFmtId="0" fontId="59" fillId="0" borderId="115" xfId="0" applyFont="1" applyFill="1" applyBorder="1" applyAlignment="1">
      <alignment horizontal="center" vertical="center" wrapText="1"/>
    </xf>
    <xf numFmtId="2" fontId="27" fillId="0" borderId="12" xfId="0" applyNumberFormat="1"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1" xfId="0" applyFont="1" applyFill="1" applyBorder="1" applyAlignment="1">
      <alignment horizontal="center" vertical="center" wrapText="1"/>
    </xf>
    <xf numFmtId="2" fontId="153" fillId="0" borderId="119" xfId="0" applyNumberFormat="1" applyFont="1" applyFill="1" applyBorder="1" applyAlignment="1">
      <alignment horizontal="center" vertical="center"/>
    </xf>
    <xf numFmtId="2" fontId="153" fillId="0" borderId="120" xfId="0" applyNumberFormat="1" applyFont="1" applyFill="1" applyBorder="1" applyAlignment="1">
      <alignment horizontal="center" vertical="center"/>
    </xf>
    <xf numFmtId="0" fontId="100" fillId="0" borderId="69" xfId="0" applyFont="1" applyFill="1" applyBorder="1" applyAlignment="1">
      <alignment horizontal="center" vertical="center" wrapText="1"/>
    </xf>
    <xf numFmtId="0" fontId="100" fillId="0" borderId="116" xfId="0" applyFont="1" applyFill="1" applyBorder="1" applyAlignment="1">
      <alignment horizontal="center" vertical="center" wrapText="1"/>
    </xf>
    <xf numFmtId="0" fontId="59" fillId="0" borderId="69" xfId="0" applyFont="1" applyFill="1" applyBorder="1" applyAlignment="1">
      <alignment horizontal="center" vertical="center" wrapText="1"/>
    </xf>
    <xf numFmtId="0" fontId="59" fillId="0" borderId="116" xfId="0" applyFont="1" applyFill="1" applyBorder="1" applyAlignment="1">
      <alignment horizontal="center" vertical="center" wrapText="1"/>
    </xf>
    <xf numFmtId="2" fontId="27" fillId="0" borderId="54" xfId="0" applyNumberFormat="1" applyFont="1" applyFill="1" applyBorder="1" applyAlignment="1">
      <alignment horizontal="center" vertical="center" wrapText="1"/>
    </xf>
    <xf numFmtId="0" fontId="27" fillId="0" borderId="54" xfId="0" applyFont="1" applyFill="1" applyBorder="1" applyAlignment="1">
      <alignment horizontal="center" vertical="center" wrapText="1"/>
    </xf>
    <xf numFmtId="0" fontId="100" fillId="0" borderId="27" xfId="0" applyFont="1" applyFill="1" applyBorder="1" applyAlignment="1">
      <alignment horizontal="center" vertical="center" wrapText="1"/>
    </xf>
    <xf numFmtId="0" fontId="100" fillId="0" borderId="118" xfId="0" applyFont="1" applyFill="1" applyBorder="1" applyAlignment="1">
      <alignment horizontal="center" vertical="center" wrapText="1"/>
    </xf>
    <xf numFmtId="0" fontId="154" fillId="0" borderId="12" xfId="0" applyFont="1" applyFill="1" applyBorder="1" applyAlignment="1">
      <alignment horizontal="center" vertical="center"/>
    </xf>
    <xf numFmtId="0" fontId="154" fillId="0" borderId="1" xfId="0" applyFont="1" applyBorder="1" applyAlignment="1">
      <alignment horizontal="center" vertical="center" wrapText="1"/>
    </xf>
    <xf numFmtId="0" fontId="0" fillId="0" borderId="35" xfId="0" applyBorder="1" applyAlignment="1">
      <alignment horizontal="center" vertical="center" wrapText="1"/>
    </xf>
    <xf numFmtId="0" fontId="0" fillId="0" borderId="69" xfId="0" applyBorder="1" applyAlignment="1">
      <alignment horizontal="center" vertical="center" wrapText="1"/>
    </xf>
    <xf numFmtId="0" fontId="0" fillId="0" borderId="116" xfId="0" applyBorder="1" applyAlignment="1">
      <alignment horizontal="center" vertical="center" wrapText="1"/>
    </xf>
    <xf numFmtId="2" fontId="27" fillId="0" borderId="115" xfId="0" applyNumberFormat="1" applyFont="1" applyFill="1" applyBorder="1" applyAlignment="1">
      <alignment horizontal="center" vertical="center" wrapText="1"/>
    </xf>
    <xf numFmtId="2" fontId="27" fillId="0" borderId="118" xfId="0" applyNumberFormat="1" applyFont="1" applyFill="1" applyBorder="1" applyAlignment="1">
      <alignment horizontal="center" vertical="center" wrapText="1"/>
    </xf>
    <xf numFmtId="0" fontId="27" fillId="0" borderId="9" xfId="0" applyFont="1" applyFill="1" applyBorder="1" applyAlignment="1">
      <alignment horizontal="center" vertical="center" wrapText="1"/>
    </xf>
    <xf numFmtId="0" fontId="154" fillId="0" borderId="1" xfId="0" applyFont="1" applyFill="1" applyBorder="1" applyAlignment="1">
      <alignment horizontal="center" vertical="center"/>
    </xf>
    <xf numFmtId="1" fontId="88" fillId="0" borderId="69" xfId="0" applyNumberFormat="1" applyFont="1" applyFill="1" applyBorder="1" applyAlignment="1">
      <alignment horizontal="center" vertical="center" wrapText="1"/>
    </xf>
    <xf numFmtId="0" fontId="59" fillId="0" borderId="119" xfId="0" applyFont="1" applyFill="1" applyBorder="1" applyAlignment="1">
      <alignment horizontal="center" vertical="center" wrapText="1"/>
    </xf>
    <xf numFmtId="0" fontId="59" fillId="0" borderId="120" xfId="0" applyFont="1" applyFill="1" applyBorder="1" applyAlignment="1">
      <alignment horizontal="center" vertical="center" wrapText="1"/>
    </xf>
    <xf numFmtId="0" fontId="59" fillId="0" borderId="35" xfId="0" applyFont="1" applyFill="1" applyBorder="1" applyAlignment="1">
      <alignment horizontal="left" vertical="center" wrapText="1"/>
    </xf>
    <xf numFmtId="0" fontId="59" fillId="0" borderId="115" xfId="0" applyFont="1" applyFill="1" applyBorder="1" applyAlignment="1">
      <alignment horizontal="left" vertical="center" wrapText="1"/>
    </xf>
    <xf numFmtId="0" fontId="59" fillId="0" borderId="27" xfId="0" applyFont="1" applyFill="1" applyBorder="1" applyAlignment="1">
      <alignment horizontal="left" vertical="center" wrapText="1"/>
    </xf>
    <xf numFmtId="0" fontId="59" fillId="0" borderId="118" xfId="0" applyFont="1" applyFill="1" applyBorder="1" applyAlignment="1">
      <alignment horizontal="left" vertical="center" wrapText="1"/>
    </xf>
    <xf numFmtId="2" fontId="27" fillId="0" borderId="9" xfId="0" applyNumberFormat="1" applyFont="1" applyFill="1" applyBorder="1" applyAlignment="1">
      <alignment horizontal="center" vertical="center" wrapText="1"/>
    </xf>
    <xf numFmtId="0" fontId="59" fillId="0" borderId="69" xfId="0" applyFont="1" applyFill="1" applyBorder="1" applyAlignment="1">
      <alignment horizontal="left" vertical="center" wrapText="1"/>
    </xf>
    <xf numFmtId="0" fontId="59" fillId="0" borderId="116" xfId="0" applyFont="1" applyFill="1" applyBorder="1" applyAlignment="1">
      <alignment horizontal="left" vertical="center" wrapText="1"/>
    </xf>
    <xf numFmtId="0" fontId="27" fillId="0" borderId="12" xfId="7" applyFont="1" applyBorder="1" applyAlignment="1">
      <alignment horizontal="center" vertical="center"/>
    </xf>
    <xf numFmtId="0" fontId="27" fillId="0" borderId="54" xfId="7" applyFont="1" applyBorder="1" applyAlignment="1">
      <alignment horizontal="center" vertical="center"/>
    </xf>
    <xf numFmtId="0" fontId="100" fillId="0" borderId="119" xfId="0" applyFont="1" applyFill="1" applyBorder="1" applyAlignment="1">
      <alignment horizontal="center" vertical="center" wrapText="1"/>
    </xf>
    <xf numFmtId="0" fontId="100" fillId="0" borderId="120" xfId="0" applyFont="1" applyFill="1" applyBorder="1" applyAlignment="1">
      <alignment horizontal="center" vertical="center" wrapText="1"/>
    </xf>
    <xf numFmtId="2" fontId="27" fillId="0" borderId="1" xfId="0" applyNumberFormat="1" applyFont="1" applyFill="1" applyBorder="1" applyAlignment="1">
      <alignment horizontal="center" vertical="center" wrapText="1"/>
    </xf>
    <xf numFmtId="0" fontId="138" fillId="16" borderId="0" xfId="0" applyFont="1" applyFill="1"/>
    <xf numFmtId="0" fontId="138" fillId="6" borderId="0" xfId="0" applyFont="1" applyFill="1"/>
    <xf numFmtId="0" fontId="155" fillId="6" borderId="0" xfId="0" applyFont="1" applyFill="1"/>
    <xf numFmtId="0" fontId="156" fillId="6" borderId="0" xfId="0" applyFont="1" applyFill="1"/>
    <xf numFmtId="1" fontId="156" fillId="6" borderId="0" xfId="0" applyNumberFormat="1" applyFont="1" applyFill="1"/>
    <xf numFmtId="0" fontId="156" fillId="21" borderId="223" xfId="0" applyFont="1" applyFill="1" applyBorder="1" applyAlignment="1">
      <alignment horizontal="center" vertical="distributed" wrapText="1"/>
    </xf>
    <xf numFmtId="0" fontId="156" fillId="21" borderId="224" xfId="0" applyFont="1" applyFill="1" applyBorder="1" applyAlignment="1">
      <alignment horizontal="center" vertical="distributed" wrapText="1"/>
    </xf>
    <xf numFmtId="0" fontId="156" fillId="21" borderId="225" xfId="0" applyFont="1" applyFill="1" applyBorder="1" applyAlignment="1">
      <alignment horizontal="center" vertical="distributed" wrapText="1"/>
    </xf>
    <xf numFmtId="0" fontId="157" fillId="6" borderId="225" xfId="0" applyFont="1" applyFill="1" applyBorder="1" applyAlignment="1">
      <alignment horizontal="center" vertical="distributed" wrapText="1"/>
    </xf>
    <xf numFmtId="0" fontId="157" fillId="6" borderId="227" xfId="0" applyFont="1" applyFill="1" applyBorder="1" applyAlignment="1">
      <alignment horizontal="center" vertical="distributed" wrapText="1"/>
    </xf>
    <xf numFmtId="1" fontId="157" fillId="22" borderId="229" xfId="0" applyNumberFormat="1" applyFont="1" applyFill="1" applyBorder="1" applyAlignment="1">
      <alignment horizontal="center" vertical="distributed" wrapText="1"/>
    </xf>
    <xf numFmtId="0" fontId="158" fillId="6" borderId="230" xfId="0" applyFont="1" applyFill="1" applyBorder="1" applyAlignment="1">
      <alignment horizontal="center" vertical="distributed" textRotation="180" wrapText="1"/>
    </xf>
    <xf numFmtId="1" fontId="157" fillId="22" borderId="231" xfId="0" applyNumberFormat="1" applyFont="1" applyFill="1" applyBorder="1" applyAlignment="1">
      <alignment horizontal="center" vertical="distributed" wrapText="1"/>
    </xf>
    <xf numFmtId="0" fontId="157" fillId="6" borderId="223" xfId="0" applyFont="1" applyFill="1" applyBorder="1" applyAlignment="1">
      <alignment horizontal="center" vertical="distributed" wrapText="1"/>
    </xf>
    <xf numFmtId="1" fontId="157" fillId="22" borderId="233" xfId="0" applyNumberFormat="1" applyFont="1" applyFill="1" applyBorder="1" applyAlignment="1">
      <alignment horizontal="center" vertical="distributed" wrapText="1"/>
    </xf>
    <xf numFmtId="0" fontId="157" fillId="6" borderId="1" xfId="0" applyFont="1" applyFill="1" applyBorder="1" applyAlignment="1">
      <alignment horizontal="center" vertical="distributed" wrapText="1"/>
    </xf>
    <xf numFmtId="1" fontId="157" fillId="22" borderId="196" xfId="0" applyNumberFormat="1" applyFont="1" applyFill="1" applyBorder="1" applyAlignment="1">
      <alignment horizontal="center" vertical="distributed" wrapText="1"/>
    </xf>
    <xf numFmtId="0" fontId="157" fillId="6" borderId="6" xfId="0" applyFont="1" applyFill="1" applyBorder="1" applyAlignment="1">
      <alignment horizontal="center" vertical="distributed" wrapText="1"/>
    </xf>
    <xf numFmtId="1" fontId="157" fillId="22" borderId="7" xfId="0" applyNumberFormat="1" applyFont="1" applyFill="1" applyBorder="1" applyAlignment="1">
      <alignment horizontal="center" vertical="distributed" wrapText="1"/>
    </xf>
    <xf numFmtId="0" fontId="157" fillId="6" borderId="243" xfId="0" applyFont="1" applyFill="1" applyBorder="1" applyAlignment="1">
      <alignment horizontal="center" vertical="distributed" wrapText="1"/>
    </xf>
    <xf numFmtId="0" fontId="157" fillId="6" borderId="248" xfId="0" applyFont="1" applyFill="1" applyBorder="1" applyAlignment="1">
      <alignment horizontal="center" vertical="distributed" wrapText="1"/>
    </xf>
    <xf numFmtId="0" fontId="157" fillId="6" borderId="249" xfId="0" applyFont="1" applyFill="1" applyBorder="1" applyAlignment="1">
      <alignment horizontal="center" vertical="distributed" wrapText="1"/>
    </xf>
    <xf numFmtId="0" fontId="157" fillId="22" borderId="243" xfId="0" applyFont="1" applyFill="1" applyBorder="1" applyAlignment="1">
      <alignment horizontal="center" vertical="distributed" wrapText="1"/>
    </xf>
    <xf numFmtId="165" fontId="157" fillId="22" borderId="250" xfId="0" applyNumberFormat="1" applyFont="1" applyFill="1" applyBorder="1" applyAlignment="1">
      <alignment horizontal="center" vertical="distributed" wrapText="1"/>
    </xf>
    <xf numFmtId="0" fontId="157" fillId="6" borderId="0" xfId="0" applyFont="1" applyFill="1"/>
    <xf numFmtId="1" fontId="157" fillId="6" borderId="0" xfId="0" applyNumberFormat="1" applyFont="1" applyFill="1"/>
    <xf numFmtId="0" fontId="159" fillId="6" borderId="0" xfId="0" applyFont="1" applyFill="1"/>
    <xf numFmtId="0" fontId="157" fillId="6" borderId="0" xfId="0" applyFont="1" applyFill="1" applyBorder="1" applyAlignment="1">
      <alignment horizontal="left" vertical="distributed" wrapText="1"/>
    </xf>
    <xf numFmtId="1" fontId="159" fillId="6" borderId="0" xfId="0" applyNumberFormat="1" applyFont="1" applyFill="1"/>
    <xf numFmtId="0" fontId="160" fillId="6" borderId="0" xfId="0" applyFont="1" applyFill="1" applyAlignment="1">
      <alignment horizontal="center"/>
    </xf>
    <xf numFmtId="0" fontId="45" fillId="2" borderId="0" xfId="0" applyFont="1" applyFill="1"/>
    <xf numFmtId="0" fontId="0" fillId="2" borderId="0" xfId="0" applyFill="1"/>
    <xf numFmtId="0" fontId="157" fillId="24" borderId="228" xfId="0" applyFont="1" applyFill="1" applyBorder="1" applyAlignment="1">
      <alignment horizontal="center" vertical="distributed" wrapText="1"/>
    </xf>
    <xf numFmtId="0" fontId="157" fillId="24" borderId="224" xfId="0" applyFont="1" applyFill="1" applyBorder="1" applyAlignment="1">
      <alignment horizontal="center" vertical="distributed" wrapText="1"/>
    </xf>
    <xf numFmtId="0" fontId="157" fillId="24" borderId="223" xfId="0" applyFont="1" applyFill="1" applyBorder="1" applyAlignment="1">
      <alignment horizontal="center" vertical="distributed" wrapText="1"/>
    </xf>
    <xf numFmtId="0" fontId="157" fillId="24" borderId="1" xfId="0" applyFont="1" applyFill="1" applyBorder="1" applyAlignment="1">
      <alignment horizontal="center" vertical="distributed" wrapText="1"/>
    </xf>
    <xf numFmtId="0" fontId="157" fillId="24" borderId="6" xfId="0" applyFont="1" applyFill="1" applyBorder="1" applyAlignment="1">
      <alignment horizontal="center" vertical="distributed" wrapText="1"/>
    </xf>
    <xf numFmtId="2" fontId="157" fillId="14" borderId="3" xfId="0" applyNumberFormat="1" applyFont="1" applyFill="1" applyBorder="1" applyAlignment="1">
      <alignment horizontal="center" vertical="distributed" wrapText="1"/>
    </xf>
    <xf numFmtId="2" fontId="157" fillId="14" borderId="1" xfId="0" applyNumberFormat="1" applyFont="1" applyFill="1" applyBorder="1" applyAlignment="1">
      <alignment horizontal="center" vertical="distributed" wrapText="1"/>
    </xf>
    <xf numFmtId="2" fontId="157" fillId="24" borderId="6" xfId="0" applyNumberFormat="1" applyFont="1" applyFill="1" applyBorder="1" applyAlignment="1">
      <alignment horizontal="center" vertical="distributed" wrapText="1"/>
    </xf>
    <xf numFmtId="0" fontId="157" fillId="25" borderId="3" xfId="0" applyFont="1" applyFill="1" applyBorder="1" applyAlignment="1">
      <alignment horizontal="center" vertical="distributed" wrapText="1"/>
    </xf>
    <xf numFmtId="1" fontId="157" fillId="14" borderId="1" xfId="0" applyNumberFormat="1" applyFont="1" applyFill="1" applyBorder="1" applyAlignment="1">
      <alignment horizontal="center" vertical="distributed" wrapText="1"/>
    </xf>
    <xf numFmtId="2" fontId="157" fillId="24" borderId="3" xfId="0" applyNumberFormat="1" applyFont="1" applyFill="1" applyBorder="1" applyAlignment="1">
      <alignment horizontal="center" vertical="distributed" wrapText="1"/>
    </xf>
    <xf numFmtId="2" fontId="157" fillId="24" borderId="1" xfId="0" applyNumberFormat="1" applyFont="1" applyFill="1" applyBorder="1" applyAlignment="1">
      <alignment horizontal="center" vertical="distributed" wrapText="1"/>
    </xf>
    <xf numFmtId="1" fontId="157" fillId="24" borderId="4" xfId="0" applyNumberFormat="1" applyFont="1" applyFill="1" applyBorder="1" applyAlignment="1">
      <alignment horizontal="center" vertical="distributed" wrapText="1"/>
    </xf>
    <xf numFmtId="1" fontId="157" fillId="24" borderId="196" xfId="0" applyNumberFormat="1" applyFont="1" applyFill="1" applyBorder="1" applyAlignment="1">
      <alignment horizontal="center" vertical="distributed" wrapText="1"/>
    </xf>
    <xf numFmtId="2" fontId="157" fillId="24" borderId="7" xfId="0" applyNumberFormat="1" applyFont="1" applyFill="1" applyBorder="1" applyAlignment="1">
      <alignment horizontal="center" vertical="distributed" wrapText="1"/>
    </xf>
    <xf numFmtId="2" fontId="157" fillId="14" borderId="228" xfId="0" applyNumberFormat="1" applyFont="1" applyFill="1" applyBorder="1" applyAlignment="1">
      <alignment horizontal="center" vertical="distributed" wrapText="1"/>
    </xf>
    <xf numFmtId="2" fontId="157" fillId="14" borderId="241" xfId="0" applyNumberFormat="1" applyFont="1" applyFill="1" applyBorder="1" applyAlignment="1">
      <alignment horizontal="center" vertical="distributed" wrapText="1"/>
    </xf>
    <xf numFmtId="2" fontId="157" fillId="14" borderId="224" xfId="0" applyNumberFormat="1" applyFont="1" applyFill="1" applyBorder="1" applyAlignment="1">
      <alignment horizontal="center" vertical="distributed" wrapText="1"/>
    </xf>
    <xf numFmtId="2" fontId="157" fillId="24" borderId="245" xfId="0" applyNumberFormat="1" applyFont="1" applyFill="1" applyBorder="1" applyAlignment="1">
      <alignment horizontal="center" vertical="distributed" wrapText="1"/>
    </xf>
    <xf numFmtId="2" fontId="157" fillId="24" borderId="228" xfId="0" applyNumberFormat="1" applyFont="1" applyFill="1" applyBorder="1" applyAlignment="1">
      <alignment horizontal="center" vertical="distributed" wrapText="1"/>
    </xf>
    <xf numFmtId="2" fontId="157" fillId="24" borderId="241" xfId="0" applyNumberFormat="1" applyFont="1" applyFill="1" applyBorder="1" applyAlignment="1">
      <alignment horizontal="center" vertical="distributed" wrapText="1"/>
    </xf>
    <xf numFmtId="2" fontId="157" fillId="24" borderId="224" xfId="0" applyNumberFormat="1" applyFont="1" applyFill="1" applyBorder="1" applyAlignment="1">
      <alignment horizontal="center" vertical="distributed" wrapText="1"/>
    </xf>
    <xf numFmtId="2" fontId="157" fillId="24" borderId="246" xfId="0" applyNumberFormat="1" applyFont="1" applyFill="1" applyBorder="1" applyAlignment="1">
      <alignment horizontal="center" vertical="distributed" wrapText="1"/>
    </xf>
    <xf numFmtId="2" fontId="157" fillId="14" borderId="236" xfId="0" applyNumberFormat="1" applyFont="1" applyFill="1" applyBorder="1" applyAlignment="1">
      <alignment horizontal="center" vertical="distributed" wrapText="1"/>
    </xf>
    <xf numFmtId="1" fontId="157" fillId="14" borderId="120" xfId="0" applyNumberFormat="1" applyFont="1" applyFill="1" applyBorder="1" applyAlignment="1">
      <alignment horizontal="center" vertical="distributed" wrapText="1"/>
    </xf>
    <xf numFmtId="2" fontId="157" fillId="14" borderId="120" xfId="0" applyNumberFormat="1" applyFont="1" applyFill="1" applyBorder="1" applyAlignment="1">
      <alignment horizontal="center" vertical="distributed" wrapText="1"/>
    </xf>
    <xf numFmtId="2" fontId="157" fillId="14" borderId="245" xfId="0" applyNumberFormat="1" applyFont="1" applyFill="1" applyBorder="1" applyAlignment="1">
      <alignment horizontal="center" vertical="distributed" wrapText="1"/>
    </xf>
    <xf numFmtId="1" fontId="157" fillId="14" borderId="224" xfId="0" applyNumberFormat="1" applyFont="1" applyFill="1" applyBorder="1" applyAlignment="1">
      <alignment horizontal="center" vertical="distributed" wrapText="1"/>
    </xf>
    <xf numFmtId="1" fontId="157" fillId="14" borderId="245" xfId="0" applyNumberFormat="1" applyFont="1" applyFill="1" applyBorder="1" applyAlignment="1">
      <alignment horizontal="center" vertical="distributed" wrapText="1"/>
    </xf>
    <xf numFmtId="0" fontId="161" fillId="21" borderId="223" xfId="0" applyFont="1" applyFill="1" applyBorder="1" applyAlignment="1">
      <alignment horizontal="center" vertical="distributed" wrapText="1"/>
    </xf>
    <xf numFmtId="0" fontId="162" fillId="6" borderId="225" xfId="0" applyFont="1" applyFill="1" applyBorder="1" applyAlignment="1">
      <alignment horizontal="center" vertical="distributed" wrapText="1"/>
    </xf>
    <xf numFmtId="0" fontId="162" fillId="6" borderId="223" xfId="0" applyFont="1" applyFill="1" applyBorder="1" applyAlignment="1">
      <alignment horizontal="center" vertical="distributed" wrapText="1"/>
    </xf>
    <xf numFmtId="0" fontId="162" fillId="6" borderId="1" xfId="0" applyFont="1" applyFill="1" applyBorder="1" applyAlignment="1">
      <alignment horizontal="center" vertical="distributed" wrapText="1"/>
    </xf>
    <xf numFmtId="0" fontId="162" fillId="6" borderId="12" xfId="0" applyFont="1" applyFill="1" applyBorder="1" applyAlignment="1">
      <alignment horizontal="center" vertical="distributed" wrapText="1"/>
    </xf>
    <xf numFmtId="0" fontId="162" fillId="6" borderId="40" xfId="0" applyFont="1" applyFill="1" applyBorder="1" applyAlignment="1">
      <alignment horizontal="center" vertical="distributed" wrapText="1"/>
    </xf>
    <xf numFmtId="0" fontId="162" fillId="6" borderId="52" xfId="0" applyFont="1" applyFill="1" applyBorder="1" applyAlignment="1">
      <alignment horizontal="center" vertical="distributed" wrapText="1"/>
    </xf>
    <xf numFmtId="0" fontId="162" fillId="6" borderId="53" xfId="0" applyFont="1" applyFill="1" applyBorder="1" applyAlignment="1">
      <alignment horizontal="center" vertical="distributed" wrapText="1"/>
    </xf>
    <xf numFmtId="0" fontId="162" fillId="6" borderId="235" xfId="0" applyFont="1" applyFill="1" applyBorder="1" applyAlignment="1">
      <alignment horizontal="center" vertical="distributed" wrapText="1"/>
    </xf>
    <xf numFmtId="0" fontId="162" fillId="6" borderId="238" xfId="0" applyFont="1" applyFill="1" applyBorder="1" applyAlignment="1">
      <alignment horizontal="center" vertical="distributed" wrapText="1"/>
    </xf>
    <xf numFmtId="0" fontId="162" fillId="6" borderId="242" xfId="0" applyFont="1" applyFill="1" applyBorder="1" applyAlignment="1">
      <alignment horizontal="center" vertical="distributed" wrapText="1"/>
    </xf>
    <xf numFmtId="0" fontId="162" fillId="6" borderId="235" xfId="0" applyFont="1" applyFill="1" applyBorder="1" applyAlignment="1">
      <alignment horizontal="center" vertical="center" wrapText="1"/>
    </xf>
    <xf numFmtId="0" fontId="162" fillId="6" borderId="238" xfId="0" applyFont="1" applyFill="1" applyBorder="1" applyAlignment="1">
      <alignment horizontal="center" vertical="center" wrapText="1"/>
    </xf>
    <xf numFmtId="0" fontId="162" fillId="6" borderId="242" xfId="0" applyFont="1" applyFill="1" applyBorder="1" applyAlignment="1">
      <alignment horizontal="center" vertical="center" wrapText="1"/>
    </xf>
    <xf numFmtId="0" fontId="161" fillId="21" borderId="224" xfId="0" applyFont="1" applyFill="1" applyBorder="1" applyAlignment="1">
      <alignment horizontal="center" vertical="distributed" wrapText="1"/>
    </xf>
    <xf numFmtId="1" fontId="161" fillId="21" borderId="223" xfId="0" applyNumberFormat="1" applyFont="1" applyFill="1" applyBorder="1" applyAlignment="1">
      <alignment horizontal="center" vertical="distributed" wrapText="1"/>
    </xf>
    <xf numFmtId="0" fontId="162" fillId="6" borderId="226" xfId="0" applyFont="1" applyFill="1" applyBorder="1" applyAlignment="1">
      <alignment horizontal="center" vertical="distributed" wrapText="1"/>
    </xf>
    <xf numFmtId="0" fontId="162" fillId="6" borderId="232" xfId="0" applyFont="1" applyFill="1" applyBorder="1" applyAlignment="1">
      <alignment horizontal="center" vertical="distributed" wrapText="1"/>
    </xf>
    <xf numFmtId="0" fontId="162" fillId="6" borderId="119" xfId="0" applyFont="1" applyFill="1" applyBorder="1" applyAlignment="1">
      <alignment horizontal="center" vertical="distributed" wrapText="1"/>
    </xf>
    <xf numFmtId="0" fontId="162" fillId="6" borderId="35" xfId="0" applyFont="1" applyFill="1" applyBorder="1" applyAlignment="1">
      <alignment horizontal="center" vertical="distributed" wrapText="1"/>
    </xf>
    <xf numFmtId="0" fontId="162" fillId="23" borderId="10" xfId="0" applyFont="1" applyFill="1" applyBorder="1" applyAlignment="1">
      <alignment horizontal="center" vertical="distributed" wrapText="1"/>
    </xf>
    <xf numFmtId="0" fontId="162" fillId="6" borderId="234" xfId="0" applyFont="1" applyFill="1" applyBorder="1" applyAlignment="1">
      <alignment horizontal="center" vertical="distributed" wrapText="1"/>
    </xf>
    <xf numFmtId="0" fontId="162" fillId="6" borderId="237" xfId="0" applyFont="1" applyFill="1" applyBorder="1" applyAlignment="1">
      <alignment horizontal="center" vertical="distributed" wrapText="1"/>
    </xf>
    <xf numFmtId="0" fontId="162" fillId="6" borderId="240" xfId="0" applyFont="1" applyFill="1" applyBorder="1" applyAlignment="1">
      <alignment horizontal="center" vertical="distributed" wrapText="1"/>
    </xf>
    <xf numFmtId="0" fontId="162" fillId="6" borderId="244" xfId="0" applyFont="1" applyFill="1" applyBorder="1" applyAlignment="1">
      <alignment horizontal="center" vertical="distributed" wrapText="1"/>
    </xf>
    <xf numFmtId="1" fontId="157" fillId="24" borderId="247" xfId="0" applyNumberFormat="1" applyFont="1" applyFill="1" applyBorder="1" applyAlignment="1">
      <alignment horizontal="center" vertical="distributed" wrapText="1"/>
    </xf>
    <xf numFmtId="1" fontId="157" fillId="24" borderId="246" xfId="0" applyNumberFormat="1" applyFont="1" applyFill="1" applyBorder="1" applyAlignment="1">
      <alignment horizontal="center" vertical="distributed" wrapText="1"/>
    </xf>
    <xf numFmtId="0" fontId="162" fillId="6" borderId="41" xfId="0" applyFont="1" applyFill="1" applyBorder="1" applyAlignment="1">
      <alignment horizontal="center" vertical="distributed" wrapText="1"/>
    </xf>
    <xf numFmtId="0" fontId="162" fillId="6" borderId="54" xfId="0" applyFont="1" applyFill="1" applyBorder="1" applyAlignment="1">
      <alignment horizontal="center" vertical="distributed" wrapText="1"/>
    </xf>
    <xf numFmtId="0" fontId="162" fillId="6" borderId="49" xfId="0" applyFont="1" applyFill="1" applyBorder="1" applyAlignment="1">
      <alignment horizontal="center" vertical="distributed" wrapText="1"/>
    </xf>
    <xf numFmtId="0" fontId="162" fillId="6" borderId="236" xfId="0" applyFont="1" applyFill="1" applyBorder="1" applyAlignment="1">
      <alignment horizontal="center" vertical="distributed" wrapText="1"/>
    </xf>
    <xf numFmtId="0" fontId="162" fillId="6" borderId="239" xfId="0" applyFont="1" applyFill="1" applyBorder="1" applyAlignment="1">
      <alignment horizontal="center" vertical="distributed" wrapText="1"/>
    </xf>
    <xf numFmtId="0" fontId="162" fillId="6" borderId="243" xfId="0" applyFont="1" applyFill="1" applyBorder="1" applyAlignment="1">
      <alignment horizontal="center" vertical="distributed" wrapText="1"/>
    </xf>
    <xf numFmtId="2" fontId="0" fillId="0" borderId="1" xfId="0" applyNumberFormat="1" applyBorder="1" applyAlignment="1">
      <alignment horizontal="center" vertical="center" wrapText="1"/>
    </xf>
    <xf numFmtId="2" fontId="0" fillId="0" borderId="1" xfId="0" applyNumberFormat="1" applyBorder="1" applyAlignment="1">
      <alignment horizontal="center" vertical="center"/>
    </xf>
    <xf numFmtId="0" fontId="139" fillId="0" borderId="251" xfId="0" applyFont="1" applyBorder="1" applyAlignment="1">
      <alignment vertical="center" wrapText="1"/>
    </xf>
    <xf numFmtId="0" fontId="45" fillId="0" borderId="1" xfId="8" applyFont="1" applyBorder="1" applyAlignment="1">
      <alignment horizontal="center"/>
    </xf>
    <xf numFmtId="0" fontId="45" fillId="0" borderId="119" xfId="8" applyFont="1" applyBorder="1" applyAlignment="1">
      <alignment horizontal="center"/>
    </xf>
    <xf numFmtId="0" fontId="45" fillId="0" borderId="120" xfId="8" applyFont="1" applyBorder="1" applyAlignment="1">
      <alignment horizontal="center"/>
    </xf>
    <xf numFmtId="0" fontId="45" fillId="14" borderId="1" xfId="8" applyFont="1" applyFill="1" applyBorder="1" applyAlignment="1">
      <alignment horizontal="left"/>
    </xf>
    <xf numFmtId="0" fontId="45" fillId="14" borderId="1" xfId="8" applyFont="1" applyFill="1" applyBorder="1" applyAlignment="1">
      <alignment horizontal="center"/>
    </xf>
    <xf numFmtId="0" fontId="45" fillId="0" borderId="1" xfId="8" applyFont="1" applyBorder="1" applyAlignment="1">
      <alignment horizontal="left"/>
    </xf>
    <xf numFmtId="0" fontId="45" fillId="6" borderId="1" xfId="8" applyFont="1" applyFill="1" applyBorder="1" applyAlignment="1">
      <alignment horizontal="center"/>
    </xf>
    <xf numFmtId="0" fontId="30" fillId="14" borderId="1" xfId="8" applyFont="1" applyFill="1" applyBorder="1" applyAlignment="1">
      <alignment horizontal="left"/>
    </xf>
    <xf numFmtId="0" fontId="30" fillId="14" borderId="1" xfId="8" applyFont="1" applyFill="1" applyBorder="1" applyAlignment="1">
      <alignment horizontal="center"/>
    </xf>
    <xf numFmtId="0" fontId="30" fillId="0" borderId="1" xfId="8" applyFont="1" applyBorder="1"/>
    <xf numFmtId="0" fontId="30" fillId="0" borderId="1" xfId="8" applyFont="1" applyBorder="1" applyAlignment="1">
      <alignment horizontal="center"/>
    </xf>
    <xf numFmtId="0" fontId="30" fillId="6" borderId="1" xfId="8" applyFont="1" applyFill="1" applyBorder="1" applyAlignment="1">
      <alignment horizontal="center"/>
    </xf>
    <xf numFmtId="0" fontId="30" fillId="0" borderId="1" xfId="8" applyFont="1" applyBorder="1" applyAlignment="1">
      <alignment horizontal="left"/>
    </xf>
    <xf numFmtId="0" fontId="45" fillId="26" borderId="1" xfId="8" applyFont="1" applyFill="1" applyBorder="1" applyAlignment="1">
      <alignment horizontal="center"/>
    </xf>
    <xf numFmtId="0" fontId="45" fillId="0" borderId="1" xfId="8" applyFont="1" applyBorder="1" applyAlignment="1">
      <alignment horizontal="center" vertical="center"/>
    </xf>
    <xf numFmtId="0" fontId="45" fillId="26" borderId="1" xfId="8" applyFont="1" applyFill="1" applyBorder="1" applyAlignment="1">
      <alignment horizontal="center" vertical="center"/>
    </xf>
    <xf numFmtId="0" fontId="30" fillId="14" borderId="1" xfId="8" applyFill="1" applyBorder="1" applyAlignment="1">
      <alignment horizontal="left"/>
    </xf>
    <xf numFmtId="0" fontId="30" fillId="14" borderId="1" xfId="8" applyFill="1" applyBorder="1"/>
    <xf numFmtId="0" fontId="30" fillId="0" borderId="1" xfId="8" applyBorder="1" applyAlignment="1">
      <alignment horizontal="left"/>
    </xf>
    <xf numFmtId="0" fontId="30" fillId="0" borderId="1" xfId="8" applyBorder="1" applyAlignment="1">
      <alignment horizontal="center" vertical="center"/>
    </xf>
    <xf numFmtId="0" fontId="30" fillId="6" borderId="1" xfId="8" applyFill="1" applyBorder="1" applyAlignment="1">
      <alignment horizontal="center" vertical="center"/>
    </xf>
    <xf numFmtId="0" fontId="45" fillId="14" borderId="1" xfId="8" applyFont="1" applyFill="1" applyBorder="1"/>
    <xf numFmtId="0" fontId="45" fillId="6" borderId="1" xfId="8" applyFont="1" applyFill="1" applyBorder="1" applyAlignment="1">
      <alignment horizontal="left"/>
    </xf>
    <xf numFmtId="0" fontId="30" fillId="14" borderId="1" xfId="8" applyFill="1" applyBorder="1" applyAlignment="1">
      <alignment horizontal="center"/>
    </xf>
    <xf numFmtId="0" fontId="30" fillId="0" borderId="1" xfId="8" applyBorder="1" applyAlignment="1">
      <alignment horizontal="center"/>
    </xf>
    <xf numFmtId="0" fontId="30" fillId="6" borderId="1" xfId="8" applyFill="1" applyBorder="1" applyAlignment="1">
      <alignment horizontal="center"/>
    </xf>
    <xf numFmtId="0" fontId="30" fillId="6" borderId="1" xfId="8" applyFill="1" applyBorder="1" applyAlignment="1">
      <alignment horizontal="left"/>
    </xf>
    <xf numFmtId="0" fontId="30" fillId="0" borderId="1" xfId="8" applyBorder="1"/>
    <xf numFmtId="0" fontId="45" fillId="0" borderId="1" xfId="8" applyFont="1" applyBorder="1" applyAlignment="1">
      <alignment horizontal="left" vertical="center" wrapText="1"/>
    </xf>
    <xf numFmtId="0" fontId="45" fillId="0" borderId="1" xfId="8" applyFont="1" applyBorder="1" applyAlignment="1">
      <alignment horizontal="left" vertical="center"/>
    </xf>
    <xf numFmtId="0" fontId="0" fillId="0" borderId="0" xfId="0" applyAlignment="1">
      <alignment wrapText="1"/>
    </xf>
    <xf numFmtId="0" fontId="86" fillId="0" borderId="0" xfId="0" applyFont="1" applyAlignment="1">
      <alignment wrapText="1"/>
    </xf>
    <xf numFmtId="0" fontId="37" fillId="6" borderId="0" xfId="0" applyFont="1" applyFill="1"/>
    <xf numFmtId="0" fontId="60" fillId="6" borderId="0" xfId="0" applyFont="1" applyFill="1"/>
    <xf numFmtId="0" fontId="163" fillId="0" borderId="0" xfId="9" applyFont="1" applyBorder="1" applyAlignment="1">
      <alignment horizontal="center" vertical="center"/>
    </xf>
    <xf numFmtId="0" fontId="66" fillId="4" borderId="1" xfId="10" applyFont="1" applyFill="1" applyBorder="1" applyAlignment="1">
      <alignment horizontal="center" vertical="center"/>
    </xf>
    <xf numFmtId="0" fontId="30" fillId="0" borderId="0" xfId="9"/>
    <xf numFmtId="0" fontId="66" fillId="0" borderId="12" xfId="10" applyFont="1" applyBorder="1" applyAlignment="1">
      <alignment horizontal="center" vertical="top" wrapText="1"/>
    </xf>
    <xf numFmtId="0" fontId="58" fillId="0" borderId="1" xfId="10" applyFont="1" applyBorder="1" applyAlignment="1">
      <alignment horizontal="center" vertical="center" wrapText="1"/>
    </xf>
    <xf numFmtId="0" fontId="58" fillId="6" borderId="12" xfId="10" applyFont="1" applyFill="1" applyBorder="1" applyAlignment="1">
      <alignment horizontal="center" vertical="center" wrapText="1"/>
    </xf>
    <xf numFmtId="0" fontId="165" fillId="2" borderId="35" xfId="10" applyFont="1" applyFill="1" applyBorder="1" applyAlignment="1">
      <alignment horizontal="center" vertical="center"/>
    </xf>
    <xf numFmtId="0" fontId="165" fillId="2" borderId="114" xfId="10" applyFont="1" applyFill="1" applyBorder="1" applyAlignment="1">
      <alignment horizontal="center" vertical="center"/>
    </xf>
    <xf numFmtId="0" fontId="165" fillId="2" borderId="115" xfId="10" applyFont="1" applyFill="1" applyBorder="1" applyAlignment="1">
      <alignment horizontal="center" vertical="center"/>
    </xf>
    <xf numFmtId="0" fontId="66" fillId="0" borderId="252" xfId="10" applyFont="1" applyBorder="1" applyAlignment="1">
      <alignment horizontal="center" vertical="top" wrapText="1"/>
    </xf>
    <xf numFmtId="0" fontId="30" fillId="0" borderId="9" xfId="9" applyBorder="1"/>
    <xf numFmtId="0" fontId="165" fillId="2" borderId="27" xfId="10" applyFont="1" applyFill="1" applyBorder="1" applyAlignment="1">
      <alignment horizontal="center" vertical="center"/>
    </xf>
    <xf numFmtId="0" fontId="165" fillId="2" borderId="251" xfId="10" applyFont="1" applyFill="1" applyBorder="1" applyAlignment="1">
      <alignment horizontal="center" vertical="center"/>
    </xf>
    <xf numFmtId="0" fontId="165" fillId="2" borderId="118" xfId="10" applyFont="1" applyFill="1" applyBorder="1" applyAlignment="1">
      <alignment horizontal="center" vertical="center"/>
    </xf>
    <xf numFmtId="0" fontId="66" fillId="0" borderId="9" xfId="10" applyFont="1" applyBorder="1" applyAlignment="1">
      <alignment horizontal="center" vertical="top" wrapText="1"/>
    </xf>
    <xf numFmtId="0" fontId="58" fillId="0" borderId="119" xfId="10" applyFont="1" applyBorder="1" applyAlignment="1">
      <alignment horizontal="center" vertical="center" wrapText="1"/>
    </xf>
    <xf numFmtId="0" fontId="58" fillId="0" borderId="121" xfId="10" applyFont="1" applyBorder="1" applyAlignment="1">
      <alignment horizontal="center" vertical="center" wrapText="1"/>
    </xf>
    <xf numFmtId="0" fontId="58" fillId="0" borderId="120" xfId="10" applyFont="1" applyBorder="1" applyAlignment="1">
      <alignment horizontal="center" vertical="center" wrapText="1"/>
    </xf>
    <xf numFmtId="0" fontId="58" fillId="6" borderId="9" xfId="10" applyFont="1" applyFill="1" applyBorder="1" applyAlignment="1">
      <alignment horizontal="center" vertical="center" wrapText="1"/>
    </xf>
    <xf numFmtId="0" fontId="165" fillId="2" borderId="119" xfId="10" applyFont="1" applyFill="1" applyBorder="1" applyAlignment="1">
      <alignment horizontal="center" vertical="center"/>
    </xf>
    <xf numFmtId="0" fontId="165" fillId="2" borderId="121" xfId="10" applyFont="1" applyFill="1" applyBorder="1" applyAlignment="1">
      <alignment horizontal="center" vertical="center"/>
    </xf>
    <xf numFmtId="0" fontId="165" fillId="2" borderId="120" xfId="10" applyFont="1" applyFill="1" applyBorder="1" applyAlignment="1">
      <alignment horizontal="center" vertical="center"/>
    </xf>
    <xf numFmtId="0" fontId="148" fillId="0" borderId="1" xfId="9" applyFont="1" applyFill="1" applyBorder="1" applyAlignment="1">
      <alignment horizontal="center" vertical="top" wrapText="1"/>
    </xf>
    <xf numFmtId="0" fontId="148" fillId="0" borderId="1" xfId="9" applyFont="1" applyFill="1" applyBorder="1" applyAlignment="1">
      <alignment horizontal="center" vertical="center" wrapText="1"/>
    </xf>
    <xf numFmtId="0" fontId="148" fillId="0" borderId="1" xfId="9" applyFont="1" applyFill="1" applyBorder="1" applyAlignment="1">
      <alignment horizontal="center" vertical="center"/>
    </xf>
    <xf numFmtId="0" fontId="167" fillId="6" borderId="1" xfId="9" applyFont="1" applyFill="1" applyBorder="1" applyAlignment="1">
      <alignment horizontal="center" vertical="center" wrapText="1"/>
    </xf>
    <xf numFmtId="0" fontId="168" fillId="2" borderId="119" xfId="9" applyFont="1" applyFill="1" applyBorder="1" applyAlignment="1">
      <alignment horizontal="center" vertical="center"/>
    </xf>
    <xf numFmtId="0" fontId="30" fillId="2" borderId="121" xfId="9" applyFill="1" applyBorder="1"/>
    <xf numFmtId="0" fontId="30" fillId="2" borderId="120" xfId="9" applyFill="1" applyBorder="1"/>
    <xf numFmtId="0" fontId="168" fillId="2" borderId="121" xfId="9" applyFont="1" applyFill="1" applyBorder="1" applyAlignment="1">
      <alignment horizontal="center" vertical="center"/>
    </xf>
    <xf numFmtId="0" fontId="168" fillId="2" borderId="120" xfId="9" applyFont="1" applyFill="1" applyBorder="1" applyAlignment="1">
      <alignment horizontal="center" vertical="center"/>
    </xf>
    <xf numFmtId="0" fontId="148" fillId="6" borderId="1" xfId="9" applyFont="1" applyFill="1" applyBorder="1" applyAlignment="1">
      <alignment horizontal="center" vertical="top" wrapText="1"/>
    </xf>
    <xf numFmtId="0" fontId="148" fillId="6" borderId="119" xfId="9" applyFont="1" applyFill="1" applyBorder="1" applyAlignment="1">
      <alignment horizontal="center" vertical="center" wrapText="1"/>
    </xf>
    <xf numFmtId="0" fontId="148" fillId="6" borderId="121" xfId="9" applyFont="1" applyFill="1" applyBorder="1" applyAlignment="1">
      <alignment horizontal="center" vertical="center" wrapText="1"/>
    </xf>
    <xf numFmtId="0" fontId="148" fillId="6" borderId="120" xfId="9" applyFont="1" applyFill="1" applyBorder="1" applyAlignment="1">
      <alignment horizontal="center" vertical="center" wrapText="1"/>
    </xf>
    <xf numFmtId="0" fontId="168" fillId="2" borderId="119" xfId="9" applyFont="1" applyFill="1" applyBorder="1" applyAlignment="1">
      <alignment vertical="center"/>
    </xf>
    <xf numFmtId="0" fontId="168" fillId="2" borderId="121" xfId="9" applyFont="1" applyFill="1" applyBorder="1" applyAlignment="1">
      <alignment vertical="center"/>
    </xf>
    <xf numFmtId="0" fontId="168" fillId="2" borderId="120" xfId="9" applyFont="1" applyFill="1" applyBorder="1" applyAlignment="1">
      <alignment vertical="center"/>
    </xf>
    <xf numFmtId="0" fontId="59" fillId="0" borderId="1" xfId="10" applyFont="1" applyBorder="1" applyAlignment="1">
      <alignment horizontal="center" vertical="center"/>
    </xf>
    <xf numFmtId="0" fontId="59" fillId="0" borderId="1" xfId="10" applyFont="1" applyBorder="1" applyAlignment="1">
      <alignment horizontal="center" vertical="center" wrapText="1"/>
    </xf>
    <xf numFmtId="0" fontId="59" fillId="2" borderId="1" xfId="10" applyFont="1" applyFill="1" applyBorder="1" applyAlignment="1">
      <alignment horizontal="center" vertical="center"/>
    </xf>
    <xf numFmtId="0" fontId="68" fillId="27" borderId="12" xfId="9" applyFont="1" applyFill="1" applyBorder="1" applyAlignment="1">
      <alignment horizontal="center" vertical="center" wrapText="1"/>
    </xf>
    <xf numFmtId="0" fontId="166" fillId="27" borderId="1" xfId="9" applyFont="1" applyFill="1" applyBorder="1" applyAlignment="1">
      <alignment horizontal="center" vertical="center" wrapText="1"/>
    </xf>
    <xf numFmtId="0" fontId="68" fillId="27" borderId="9" xfId="9" applyFont="1" applyFill="1" applyBorder="1" applyAlignment="1">
      <alignment horizontal="center" vertical="center" wrapText="1"/>
    </xf>
    <xf numFmtId="0" fontId="68" fillId="27" borderId="1" xfId="9" applyFont="1" applyFill="1" applyBorder="1" applyAlignment="1">
      <alignment horizontal="center" vertical="center" wrapText="1"/>
    </xf>
    <xf numFmtId="0" fontId="166" fillId="6" borderId="1" xfId="9" applyFont="1" applyFill="1" applyBorder="1" applyAlignment="1">
      <alignment horizontal="center" vertical="center" wrapText="1"/>
    </xf>
    <xf numFmtId="0" fontId="166" fillId="6" borderId="1" xfId="9" applyFont="1" applyFill="1" applyBorder="1" applyAlignment="1">
      <alignment horizontal="left" vertical="center" wrapText="1"/>
    </xf>
    <xf numFmtId="0" fontId="148" fillId="6" borderId="1" xfId="9" applyFont="1" applyFill="1" applyBorder="1" applyAlignment="1">
      <alignment horizontal="center"/>
    </xf>
    <xf numFmtId="2" fontId="148" fillId="6" borderId="1" xfId="9" applyNumberFormat="1" applyFont="1" applyFill="1" applyBorder="1" applyAlignment="1">
      <alignment horizontal="center" vertical="center" wrapText="1"/>
    </xf>
    <xf numFmtId="0" fontId="148" fillId="6" borderId="1" xfId="9" applyFont="1" applyFill="1" applyBorder="1" applyAlignment="1">
      <alignment horizontal="center" vertical="center" wrapText="1"/>
    </xf>
    <xf numFmtId="2" fontId="81" fillId="2" borderId="1" xfId="9" applyNumberFormat="1" applyFont="1" applyFill="1" applyBorder="1" applyAlignment="1">
      <alignment horizontal="center" vertical="center"/>
    </xf>
    <xf numFmtId="2" fontId="148" fillId="2" borderId="1" xfId="9" applyNumberFormat="1" applyFont="1" applyFill="1" applyBorder="1" applyAlignment="1">
      <alignment horizontal="center" vertical="center"/>
    </xf>
    <xf numFmtId="2" fontId="148" fillId="6" borderId="1" xfId="9" applyNumberFormat="1" applyFont="1" applyFill="1" applyBorder="1" applyAlignment="1">
      <alignment horizontal="center" vertical="center"/>
    </xf>
    <xf numFmtId="0" fontId="148" fillId="6" borderId="1" xfId="9" applyFont="1" applyFill="1" applyBorder="1" applyAlignment="1">
      <alignment horizontal="center" vertical="center"/>
    </xf>
    <xf numFmtId="0" fontId="166" fillId="0" borderId="1" xfId="9" applyFont="1" applyFill="1" applyBorder="1" applyAlignment="1">
      <alignment vertical="center" wrapText="1"/>
    </xf>
    <xf numFmtId="0" fontId="30" fillId="2" borderId="1" xfId="9" applyFill="1" applyBorder="1" applyAlignment="1">
      <alignment horizontal="center" vertical="center"/>
    </xf>
    <xf numFmtId="0" fontId="30" fillId="0" borderId="1" xfId="9" applyBorder="1" applyAlignment="1">
      <alignment horizontal="center" vertical="center"/>
    </xf>
    <xf numFmtId="0" fontId="170" fillId="6" borderId="0" xfId="0" applyFont="1" applyFill="1" applyAlignment="1">
      <alignment horizontal="center" vertical="center"/>
    </xf>
    <xf numFmtId="0" fontId="124" fillId="6" borderId="0" xfId="0" applyFont="1" applyFill="1" applyAlignment="1">
      <alignment horizontal="right" vertical="center"/>
    </xf>
    <xf numFmtId="0" fontId="128" fillId="28" borderId="0" xfId="0" applyFont="1" applyFill="1" applyAlignment="1">
      <alignment vertical="center"/>
    </xf>
    <xf numFmtId="0" fontId="124" fillId="29" borderId="0" xfId="0" applyFont="1" applyFill="1" applyAlignment="1">
      <alignment horizontal="center" vertical="center"/>
    </xf>
    <xf numFmtId="0" fontId="124" fillId="2" borderId="0" xfId="0" applyFont="1" applyFill="1" applyAlignment="1">
      <alignment horizontal="center" vertical="center"/>
    </xf>
    <xf numFmtId="0" fontId="124" fillId="19" borderId="0" xfId="0" applyFont="1" applyFill="1" applyAlignment="1">
      <alignment horizontal="center" vertical="center"/>
    </xf>
    <xf numFmtId="0" fontId="171" fillId="0" borderId="1" xfId="0" applyFont="1" applyFill="1" applyBorder="1" applyAlignment="1">
      <alignment horizontal="center" vertical="center" wrapText="1"/>
    </xf>
    <xf numFmtId="0" fontId="172" fillId="0" borderId="1" xfId="0" applyFont="1" applyFill="1" applyBorder="1" applyAlignment="1">
      <alignment horizontal="center" vertical="center" wrapText="1"/>
    </xf>
    <xf numFmtId="0" fontId="172" fillId="6" borderId="0" xfId="0" applyFont="1" applyFill="1" applyAlignment="1">
      <alignment horizontal="center" vertical="center" wrapText="1"/>
    </xf>
    <xf numFmtId="0" fontId="172" fillId="6" borderId="1" xfId="0" applyFont="1" applyFill="1" applyBorder="1" applyAlignment="1">
      <alignment horizontal="center" vertical="center" wrapText="1"/>
    </xf>
    <xf numFmtId="0" fontId="172" fillId="19" borderId="1" xfId="0" applyFont="1" applyFill="1" applyBorder="1" applyAlignment="1">
      <alignment horizontal="center" vertical="center" wrapText="1"/>
    </xf>
    <xf numFmtId="0" fontId="124" fillId="18" borderId="253" xfId="0" applyFont="1" applyFill="1" applyBorder="1" applyAlignment="1">
      <alignment vertical="center"/>
    </xf>
    <xf numFmtId="0" fontId="124" fillId="18" borderId="253" xfId="0" applyFont="1" applyFill="1" applyBorder="1" applyAlignment="1">
      <alignment horizontal="center" vertical="center"/>
    </xf>
    <xf numFmtId="9" fontId="121" fillId="18" borderId="253" xfId="0" applyNumberFormat="1" applyFont="1" applyFill="1" applyBorder="1" applyAlignment="1">
      <alignment vertical="center"/>
    </xf>
    <xf numFmtId="9" fontId="121" fillId="19" borderId="253" xfId="0" applyNumberFormat="1" applyFont="1" applyFill="1" applyBorder="1" applyAlignment="1">
      <alignment vertical="center"/>
    </xf>
    <xf numFmtId="2" fontId="173" fillId="6" borderId="0" xfId="0" applyNumberFormat="1" applyFont="1" applyFill="1" applyAlignment="1">
      <alignment horizontal="center" vertical="center"/>
    </xf>
    <xf numFmtId="9" fontId="121" fillId="30" borderId="0" xfId="0" applyNumberFormat="1" applyFont="1" applyFill="1" applyAlignment="1">
      <alignment vertical="center"/>
    </xf>
    <xf numFmtId="0" fontId="129" fillId="0" borderId="9" xfId="0" applyFont="1" applyBorder="1" applyAlignment="1">
      <alignment horizontal="center" vertical="center"/>
    </xf>
    <xf numFmtId="167" fontId="129" fillId="19" borderId="9" xfId="0" applyNumberFormat="1" applyFont="1" applyFill="1" applyBorder="1" applyAlignment="1">
      <alignment horizontal="right" vertical="center"/>
    </xf>
    <xf numFmtId="2" fontId="173" fillId="0" borderId="0" xfId="0" applyNumberFormat="1" applyFont="1" applyFill="1" applyAlignment="1">
      <alignment horizontal="center" vertical="center"/>
    </xf>
    <xf numFmtId="0" fontId="129" fillId="0" borderId="1" xfId="0" applyFont="1" applyBorder="1" applyAlignment="1">
      <alignment horizontal="center" vertical="center"/>
    </xf>
    <xf numFmtId="0" fontId="124" fillId="6" borderId="0" xfId="0" applyFont="1" applyFill="1" applyAlignment="1">
      <alignment vertical="center"/>
    </xf>
    <xf numFmtId="0" fontId="124" fillId="6" borderId="0" xfId="0" applyFont="1" applyFill="1" applyAlignment="1">
      <alignment horizontal="right" vertical="center" wrapText="1"/>
    </xf>
    <xf numFmtId="0" fontId="139" fillId="16" borderId="66" xfId="0" applyFont="1" applyFill="1" applyBorder="1"/>
    <xf numFmtId="0" fontId="37" fillId="16" borderId="66" xfId="0" applyFont="1" applyFill="1" applyBorder="1"/>
    <xf numFmtId="0" fontId="37" fillId="16" borderId="67" xfId="0" applyFont="1" applyFill="1" applyBorder="1"/>
    <xf numFmtId="0" fontId="37" fillId="16" borderId="68" xfId="0" applyFont="1" applyFill="1" applyBorder="1"/>
    <xf numFmtId="0" fontId="139" fillId="16" borderId="67" xfId="0" applyFont="1" applyFill="1" applyBorder="1"/>
    <xf numFmtId="0" fontId="139" fillId="16" borderId="68" xfId="0" applyFont="1" applyFill="1" applyBorder="1"/>
    <xf numFmtId="0" fontId="111" fillId="16" borderId="66" xfId="0" applyFont="1" applyFill="1" applyBorder="1"/>
    <xf numFmtId="0" fontId="111" fillId="16" borderId="67" xfId="0" applyFont="1" applyFill="1" applyBorder="1"/>
    <xf numFmtId="0" fontId="111" fillId="16" borderId="68" xfId="0" applyFont="1" applyFill="1" applyBorder="1"/>
    <xf numFmtId="0" fontId="111" fillId="0" borderId="0" xfId="0" applyFont="1"/>
    <xf numFmtId="0" fontId="170" fillId="6" borderId="0" xfId="0" applyFont="1" applyFill="1" applyAlignment="1">
      <alignment horizontal="left" vertical="center"/>
    </xf>
    <xf numFmtId="0" fontId="175" fillId="0" borderId="1" xfId="0" applyFont="1" applyFill="1" applyBorder="1" applyAlignment="1">
      <alignment horizontal="center" vertical="center" wrapText="1"/>
    </xf>
    <xf numFmtId="0" fontId="122" fillId="0" borderId="1" xfId="0" applyFont="1" applyFill="1" applyBorder="1" applyAlignment="1">
      <alignment horizontal="center" vertical="center" wrapText="1"/>
    </xf>
    <xf numFmtId="0" fontId="122" fillId="6" borderId="0" xfId="0" applyFont="1" applyFill="1" applyAlignment="1">
      <alignment horizontal="center" vertical="center" wrapText="1"/>
    </xf>
    <xf numFmtId="0" fontId="122" fillId="6" borderId="1" xfId="0" applyFont="1" applyFill="1" applyBorder="1" applyAlignment="1">
      <alignment horizontal="center" vertical="center" wrapText="1"/>
    </xf>
    <xf numFmtId="0" fontId="122" fillId="19" borderId="1" xfId="0" applyFont="1" applyFill="1" applyBorder="1" applyAlignment="1">
      <alignment horizontal="center" vertical="center" wrapText="1"/>
    </xf>
    <xf numFmtId="0" fontId="176" fillId="18" borderId="253" xfId="0" applyFont="1" applyFill="1" applyBorder="1" applyAlignment="1">
      <alignment vertical="center"/>
    </xf>
    <xf numFmtId="0" fontId="121" fillId="6" borderId="1" xfId="0" applyFont="1" applyFill="1" applyBorder="1" applyAlignment="1">
      <alignment horizontal="center" vertical="center"/>
    </xf>
    <xf numFmtId="0" fontId="138" fillId="16" borderId="66" xfId="0" applyFont="1" applyFill="1" applyBorder="1"/>
    <xf numFmtId="0" fontId="138" fillId="16" borderId="67" xfId="0" applyFont="1" applyFill="1" applyBorder="1"/>
    <xf numFmtId="0" fontId="138" fillId="16" borderId="68" xfId="0" applyFont="1" applyFill="1" applyBorder="1"/>
    <xf numFmtId="0" fontId="142" fillId="6" borderId="0" xfId="0" applyFont="1" applyFill="1" applyAlignment="1">
      <alignment vertical="center"/>
    </xf>
    <xf numFmtId="0" fontId="177" fillId="28" borderId="119" xfId="0" applyFont="1" applyFill="1" applyBorder="1" applyAlignment="1">
      <alignment vertical="center"/>
    </xf>
    <xf numFmtId="0" fontId="128" fillId="28" borderId="121" xfId="0" applyFont="1" applyFill="1" applyBorder="1" applyAlignment="1">
      <alignment vertical="center"/>
    </xf>
    <xf numFmtId="0" fontId="128" fillId="28" borderId="120" xfId="0" applyFont="1" applyFill="1" applyBorder="1" applyAlignment="1">
      <alignment vertical="center"/>
    </xf>
    <xf numFmtId="0" fontId="124" fillId="18" borderId="1" xfId="0" applyFont="1" applyFill="1" applyBorder="1" applyAlignment="1">
      <alignment vertical="center"/>
    </xf>
    <xf numFmtId="0" fontId="124" fillId="18" borderId="1" xfId="0" applyFont="1" applyFill="1" applyBorder="1" applyAlignment="1">
      <alignment horizontal="center" vertical="center"/>
    </xf>
    <xf numFmtId="9" fontId="121" fillId="18" borderId="1" xfId="0" applyNumberFormat="1" applyFont="1" applyFill="1" applyBorder="1" applyAlignment="1">
      <alignment vertical="center"/>
    </xf>
    <xf numFmtId="9" fontId="121" fillId="0" borderId="0" xfId="0" applyNumberFormat="1" applyFont="1" applyFill="1" applyAlignment="1">
      <alignment vertical="center"/>
    </xf>
    <xf numFmtId="0" fontId="176" fillId="18" borderId="1" xfId="0" applyFont="1" applyFill="1" applyBorder="1" applyAlignment="1">
      <alignment vertical="center"/>
    </xf>
    <xf numFmtId="0" fontId="124" fillId="18" borderId="254" xfId="0" applyFont="1" applyFill="1" applyBorder="1" applyAlignment="1">
      <alignment vertical="center"/>
    </xf>
    <xf numFmtId="0" fontId="124" fillId="18" borderId="254" xfId="0" applyFont="1" applyFill="1" applyBorder="1" applyAlignment="1">
      <alignment horizontal="center" vertical="center"/>
    </xf>
    <xf numFmtId="9" fontId="121" fillId="18" borderId="254" xfId="0" applyNumberFormat="1" applyFont="1" applyFill="1" applyBorder="1" applyAlignment="1">
      <alignment vertical="center"/>
    </xf>
    <xf numFmtId="0" fontId="121" fillId="0" borderId="9" xfId="0" applyFont="1" applyFill="1" applyBorder="1" applyAlignment="1">
      <alignment horizontal="left" vertical="center"/>
    </xf>
    <xf numFmtId="0" fontId="121" fillId="18" borderId="1" xfId="0" applyFont="1" applyFill="1" applyBorder="1" applyAlignment="1">
      <alignment vertical="center" wrapText="1"/>
    </xf>
    <xf numFmtId="0" fontId="176" fillId="18" borderId="1" xfId="0" applyFont="1" applyFill="1" applyBorder="1" applyAlignment="1">
      <alignment vertical="center" wrapText="1"/>
    </xf>
    <xf numFmtId="0" fontId="176" fillId="6" borderId="0" xfId="0" applyFont="1" applyFill="1" applyAlignment="1">
      <alignment horizontal="left" vertical="center"/>
    </xf>
    <xf numFmtId="0" fontId="176" fillId="18" borderId="1" xfId="0" applyFont="1" applyFill="1" applyBorder="1" applyAlignment="1">
      <alignment horizontal="center" vertical="center"/>
    </xf>
    <xf numFmtId="0" fontId="142" fillId="18" borderId="1" xfId="0" applyFont="1" applyFill="1" applyBorder="1" applyAlignment="1">
      <alignment horizontal="center" vertical="center"/>
    </xf>
    <xf numFmtId="0" fontId="121" fillId="6" borderId="9" xfId="0" applyFont="1" applyFill="1" applyBorder="1" applyAlignment="1">
      <alignment horizontal="center" vertical="center"/>
    </xf>
    <xf numFmtId="2" fontId="179" fillId="6" borderId="0" xfId="0" applyNumberFormat="1" applyFont="1" applyFill="1" applyAlignment="1">
      <alignment horizontal="center" vertical="center"/>
    </xf>
    <xf numFmtId="0" fontId="180" fillId="6" borderId="0" xfId="0" applyFont="1" applyFill="1" applyAlignment="1">
      <alignment vertical="center"/>
    </xf>
    <xf numFmtId="0" fontId="128" fillId="0" borderId="0" xfId="0" applyFont="1" applyAlignment="1">
      <alignment vertical="center"/>
    </xf>
    <xf numFmtId="0" fontId="121" fillId="19" borderId="0" xfId="0" applyFont="1" applyFill="1" applyAlignment="1">
      <alignment vertical="center"/>
    </xf>
    <xf numFmtId="1" fontId="121" fillId="6" borderId="0" xfId="0" applyNumberFormat="1" applyFont="1" applyFill="1" applyAlignment="1">
      <alignment vertical="center"/>
    </xf>
    <xf numFmtId="0" fontId="0" fillId="0" borderId="0" xfId="0" applyAlignment="1">
      <alignment horizontal="left" vertical="center" wrapText="1"/>
    </xf>
    <xf numFmtId="0" fontId="179" fillId="6" borderId="0" xfId="0" applyFont="1" applyFill="1" applyAlignment="1">
      <alignment vertical="center"/>
    </xf>
    <xf numFmtId="2" fontId="181" fillId="6" borderId="0" xfId="0" applyNumberFormat="1" applyFont="1" applyFill="1" applyAlignment="1">
      <alignment horizontal="center" vertical="center"/>
    </xf>
    <xf numFmtId="167" fontId="179" fillId="6" borderId="0" xfId="0" applyNumberFormat="1" applyFont="1" applyFill="1" applyAlignment="1">
      <alignment vertical="center"/>
    </xf>
    <xf numFmtId="14" fontId="0" fillId="26" borderId="0" xfId="0" applyNumberFormat="1" applyFont="1" applyFill="1"/>
    <xf numFmtId="0" fontId="184" fillId="0" borderId="70" xfId="0" applyFont="1" applyBorder="1" applyAlignment="1">
      <alignment horizontal="center" vertical="top" wrapText="1"/>
    </xf>
    <xf numFmtId="0" fontId="184" fillId="0" borderId="68" xfId="0" applyFont="1" applyBorder="1" applyAlignment="1">
      <alignment horizontal="center" vertical="top" wrapText="1"/>
    </xf>
    <xf numFmtId="0" fontId="45" fillId="0" borderId="89" xfId="0" applyFont="1" applyBorder="1" applyAlignment="1">
      <alignment vertical="top" wrapText="1"/>
    </xf>
    <xf numFmtId="0" fontId="60" fillId="0" borderId="89" xfId="0" applyFont="1" applyBorder="1" applyAlignment="1">
      <alignment vertical="top" wrapText="1"/>
    </xf>
    <xf numFmtId="0" fontId="182" fillId="0" borderId="89" xfId="0" applyFont="1" applyBorder="1" applyAlignment="1">
      <alignment vertical="top" wrapText="1"/>
    </xf>
    <xf numFmtId="0" fontId="0" fillId="0" borderId="89" xfId="0" applyBorder="1" applyAlignment="1">
      <alignment vertical="top" wrapText="1"/>
    </xf>
    <xf numFmtId="0" fontId="0" fillId="0" borderId="80" xfId="0" applyBorder="1" applyAlignment="1">
      <alignment vertical="top" wrapText="1"/>
    </xf>
    <xf numFmtId="0" fontId="182" fillId="0" borderId="100" xfId="0" applyFont="1" applyBorder="1" applyAlignment="1">
      <alignment horizontal="center" vertical="top" wrapText="1"/>
    </xf>
    <xf numFmtId="0" fontId="0" fillId="0" borderId="113" xfId="0" applyBorder="1" applyAlignment="1">
      <alignment vertical="top" wrapText="1"/>
    </xf>
    <xf numFmtId="0" fontId="0" fillId="0" borderId="100" xfId="0" applyBorder="1" applyAlignment="1">
      <alignment vertical="top" wrapText="1"/>
    </xf>
    <xf numFmtId="0" fontId="182" fillId="0" borderId="113" xfId="0" applyFont="1" applyBorder="1" applyAlignment="1">
      <alignment horizontal="center" vertical="top" wrapText="1"/>
    </xf>
    <xf numFmtId="0" fontId="182" fillId="0" borderId="100" xfId="0" applyFont="1" applyBorder="1" applyAlignment="1">
      <alignment horizontal="center" wrapText="1"/>
    </xf>
    <xf numFmtId="0" fontId="0" fillId="0" borderId="100" xfId="0" applyBorder="1" applyAlignment="1">
      <alignment wrapText="1"/>
    </xf>
    <xf numFmtId="0" fontId="0" fillId="0" borderId="113" xfId="0" applyBorder="1" applyAlignment="1">
      <alignment wrapText="1"/>
    </xf>
    <xf numFmtId="0" fontId="45" fillId="0" borderId="80" xfId="0" applyFont="1" applyBorder="1" applyAlignment="1">
      <alignment vertical="top" wrapText="1"/>
    </xf>
    <xf numFmtId="0" fontId="45" fillId="0" borderId="100" xfId="0" applyFont="1" applyBorder="1" applyAlignment="1">
      <alignment vertical="top" wrapText="1"/>
    </xf>
    <xf numFmtId="0" fontId="45" fillId="0" borderId="100" xfId="0" applyFont="1" applyBorder="1" applyAlignment="1">
      <alignment horizontal="center" vertical="top" wrapText="1"/>
    </xf>
    <xf numFmtId="0" fontId="185" fillId="0" borderId="0" xfId="0" applyFont="1"/>
    <xf numFmtId="14" fontId="182" fillId="16" borderId="68" xfId="0" applyNumberFormat="1" applyFont="1" applyFill="1" applyBorder="1"/>
    <xf numFmtId="14" fontId="37" fillId="16" borderId="67" xfId="0" applyNumberFormat="1" applyFont="1" applyFill="1" applyBorder="1"/>
    <xf numFmtId="0" fontId="0" fillId="26" borderId="0" xfId="0" applyFill="1"/>
    <xf numFmtId="0" fontId="183" fillId="26" borderId="0" xfId="0" applyFont="1" applyFill="1" applyAlignment="1">
      <alignment horizontal="center" vertical="center"/>
    </xf>
    <xf numFmtId="0" fontId="183" fillId="26" borderId="0" xfId="0" applyFont="1" applyFill="1" applyAlignment="1">
      <alignment vertical="center"/>
    </xf>
    <xf numFmtId="0" fontId="0" fillId="26" borderId="0" xfId="0" applyFill="1" applyAlignment="1">
      <alignment vertical="center"/>
    </xf>
    <xf numFmtId="14" fontId="45" fillId="26" borderId="0" xfId="0" applyNumberFormat="1" applyFont="1" applyFill="1"/>
    <xf numFmtId="0" fontId="186" fillId="26" borderId="0" xfId="0" applyFont="1" applyFill="1" applyBorder="1" applyAlignment="1">
      <alignment vertical="center"/>
    </xf>
    <xf numFmtId="0" fontId="45" fillId="0" borderId="1" xfId="0" applyFont="1" applyBorder="1" applyAlignment="1">
      <alignment horizontal="center"/>
    </xf>
    <xf numFmtId="0" fontId="187" fillId="0" borderId="100" xfId="0" applyFont="1" applyBorder="1" applyAlignment="1">
      <alignment horizontal="justify" vertical="top" wrapText="1"/>
    </xf>
    <xf numFmtId="3" fontId="188" fillId="14" borderId="1" xfId="0" applyNumberFormat="1" applyFont="1" applyFill="1" applyBorder="1" applyAlignment="1">
      <alignment horizontal="center" vertical="top" wrapText="1"/>
    </xf>
    <xf numFmtId="4" fontId="188" fillId="14" borderId="1" xfId="0" applyNumberFormat="1" applyFont="1" applyFill="1" applyBorder="1" applyAlignment="1">
      <alignment horizontal="center" vertical="top" wrapText="1"/>
    </xf>
    <xf numFmtId="0" fontId="185" fillId="0" borderId="1" xfId="0" applyFont="1" applyBorder="1" applyAlignment="1">
      <alignment vertical="top"/>
    </xf>
    <xf numFmtId="1" fontId="188" fillId="0" borderId="1" xfId="0" applyNumberFormat="1" applyFont="1" applyFill="1" applyBorder="1" applyAlignment="1">
      <alignment vertical="top"/>
    </xf>
    <xf numFmtId="3" fontId="188" fillId="0" borderId="1" xfId="0" applyNumberFormat="1" applyFont="1" applyFill="1" applyBorder="1" applyAlignment="1">
      <alignment vertical="top"/>
    </xf>
    <xf numFmtId="3" fontId="0" fillId="0" borderId="0" xfId="0" applyNumberFormat="1"/>
    <xf numFmtId="0" fontId="185" fillId="0" borderId="1" xfId="0" applyFont="1" applyFill="1" applyBorder="1" applyAlignment="1">
      <alignment horizontal="left"/>
    </xf>
    <xf numFmtId="0" fontId="185" fillId="0" borderId="1" xfId="0" applyFont="1" applyBorder="1" applyAlignment="1">
      <alignment horizontal="left"/>
    </xf>
    <xf numFmtId="0" fontId="185" fillId="0" borderId="1" xfId="0" applyFont="1" applyFill="1" applyBorder="1" applyAlignment="1">
      <alignment vertical="top"/>
    </xf>
    <xf numFmtId="0" fontId="38" fillId="16" borderId="66" xfId="0" applyFont="1" applyFill="1" applyBorder="1"/>
    <xf numFmtId="0" fontId="38" fillId="16" borderId="67" xfId="0" applyFont="1" applyFill="1" applyBorder="1"/>
    <xf numFmtId="0" fontId="38" fillId="16" borderId="68" xfId="0" applyFont="1" applyFill="1" applyBorder="1"/>
    <xf numFmtId="14" fontId="38" fillId="16" borderId="67" xfId="0" applyNumberFormat="1" applyFont="1" applyFill="1" applyBorder="1"/>
    <xf numFmtId="0" fontId="185" fillId="0" borderId="1" xfId="0" applyFont="1" applyBorder="1" applyAlignment="1">
      <alignment horizontal="center" vertical="top"/>
    </xf>
    <xf numFmtId="0" fontId="185" fillId="0" borderId="1" xfId="0" applyFont="1" applyFill="1" applyBorder="1" applyAlignment="1">
      <alignment horizontal="center" vertical="top"/>
    </xf>
    <xf numFmtId="0" fontId="45" fillId="14" borderId="1" xfId="0" applyFont="1" applyFill="1" applyBorder="1" applyAlignment="1">
      <alignment horizontal="center" vertical="top" wrapText="1"/>
    </xf>
    <xf numFmtId="0" fontId="189" fillId="14" borderId="1" xfId="0" applyFont="1" applyFill="1" applyBorder="1" applyAlignment="1">
      <alignment horizontal="center" vertical="center" wrapText="1"/>
    </xf>
    <xf numFmtId="0" fontId="45" fillId="14" borderId="1" xfId="0" applyFont="1" applyFill="1" applyBorder="1" applyAlignment="1">
      <alignment horizontal="center" vertical="center" wrapText="1"/>
    </xf>
    <xf numFmtId="0" fontId="86" fillId="14" borderId="1" xfId="0" applyFont="1" applyFill="1" applyBorder="1" applyAlignment="1">
      <alignment vertical="center" wrapText="1"/>
    </xf>
    <xf numFmtId="0" fontId="188" fillId="2" borderId="1" xfId="0" applyFont="1" applyFill="1" applyBorder="1" applyAlignment="1">
      <alignment horizontal="center" vertical="top" wrapText="1"/>
    </xf>
    <xf numFmtId="1" fontId="188" fillId="2" borderId="1" xfId="0" applyNumberFormat="1" applyFont="1" applyFill="1" applyBorder="1" applyAlignment="1">
      <alignment horizontal="center" vertical="top" wrapText="1"/>
    </xf>
    <xf numFmtId="9" fontId="188" fillId="2" borderId="1" xfId="0" applyNumberFormat="1" applyFont="1" applyFill="1" applyBorder="1" applyAlignment="1">
      <alignment horizontal="center" vertical="top" wrapText="1"/>
    </xf>
    <xf numFmtId="9" fontId="188" fillId="2" borderId="1" xfId="11" applyNumberFormat="1" applyFont="1" applyFill="1" applyBorder="1" applyAlignment="1">
      <alignment horizontal="center" vertical="top" wrapText="1"/>
    </xf>
    <xf numFmtId="0" fontId="188" fillId="0" borderId="1" xfId="0" applyFont="1" applyBorder="1" applyAlignment="1">
      <alignment horizontal="center" vertical="top"/>
    </xf>
    <xf numFmtId="0" fontId="188" fillId="0" borderId="1" xfId="0" applyFont="1" applyBorder="1" applyAlignment="1">
      <alignment vertical="top"/>
    </xf>
    <xf numFmtId="0" fontId="188" fillId="0" borderId="1" xfId="0" applyFont="1" applyFill="1" applyBorder="1" applyAlignment="1">
      <alignment horizontal="left"/>
    </xf>
    <xf numFmtId="0" fontId="188" fillId="0" borderId="1" xfId="0" applyFont="1" applyBorder="1" applyAlignment="1">
      <alignment horizontal="left"/>
    </xf>
    <xf numFmtId="0" fontId="188" fillId="0" borderId="1" xfId="0" applyFont="1" applyFill="1" applyBorder="1" applyAlignment="1">
      <alignment horizontal="center" vertical="top"/>
    </xf>
    <xf numFmtId="0" fontId="0" fillId="2" borderId="12" xfId="0" applyFill="1" applyBorder="1"/>
    <xf numFmtId="1" fontId="86" fillId="0" borderId="86" xfId="0" applyNumberFormat="1" applyFont="1" applyFill="1" applyBorder="1" applyAlignment="1">
      <alignment horizontal="center" vertical="top"/>
    </xf>
    <xf numFmtId="1" fontId="86" fillId="0" borderId="175" xfId="0" applyNumberFormat="1" applyFont="1" applyFill="1" applyBorder="1" applyAlignment="1">
      <alignment horizontal="center" vertical="top"/>
    </xf>
    <xf numFmtId="1" fontId="86" fillId="0" borderId="185" xfId="0" applyNumberFormat="1" applyFont="1" applyFill="1" applyBorder="1" applyAlignment="1">
      <alignment horizontal="center" vertical="top"/>
    </xf>
    <xf numFmtId="0" fontId="60" fillId="2" borderId="0" xfId="0" applyFont="1" applyFill="1" applyAlignment="1">
      <alignment horizontal="center"/>
    </xf>
    <xf numFmtId="0" fontId="4" fillId="0" borderId="114" xfId="1" applyBorder="1" applyAlignment="1" applyProtection="1">
      <alignment wrapText="1"/>
    </xf>
    <xf numFmtId="0" fontId="4" fillId="0" borderId="0" xfId="1" applyAlignment="1" applyProtection="1">
      <alignment wrapText="1"/>
    </xf>
    <xf numFmtId="0" fontId="3" fillId="0" borderId="114" xfId="0" applyNumberFormat="1" applyFont="1" applyBorder="1" applyAlignment="1">
      <alignment horizontal="left" vertical="top" wrapText="1"/>
    </xf>
    <xf numFmtId="0" fontId="3" fillId="0" borderId="0" xfId="0" applyNumberFormat="1" applyFont="1" applyBorder="1" applyAlignment="1">
      <alignment horizontal="left" vertical="top" wrapText="1"/>
    </xf>
    <xf numFmtId="0" fontId="3" fillId="0" borderId="0" xfId="0" applyFont="1" applyAlignment="1">
      <alignment wrapText="1"/>
    </xf>
    <xf numFmtId="0" fontId="26" fillId="0" borderId="114" xfId="1" applyFont="1" applyBorder="1" applyAlignment="1" applyProtection="1">
      <alignment horizontal="left" vertical="top" wrapText="1"/>
    </xf>
    <xf numFmtId="0" fontId="26" fillId="0" borderId="0" xfId="1" applyFont="1" applyBorder="1" applyAlignment="1" applyProtection="1">
      <alignment horizontal="left" vertical="top" wrapText="1"/>
    </xf>
    <xf numFmtId="0" fontId="3" fillId="0" borderId="0" xfId="0" applyFont="1" applyAlignment="1">
      <alignment horizontal="left" vertical="top" wrapText="1"/>
    </xf>
    <xf numFmtId="0" fontId="3" fillId="0" borderId="114" xfId="0" applyFont="1" applyBorder="1" applyAlignment="1">
      <alignment horizontal="left" vertical="top" wrapText="1"/>
    </xf>
    <xf numFmtId="0" fontId="3" fillId="0" borderId="0" xfId="0" applyFont="1" applyBorder="1" applyAlignment="1">
      <alignment horizontal="left" vertical="top" wrapText="1"/>
    </xf>
    <xf numFmtId="0" fontId="3" fillId="0" borderId="0" xfId="0" applyFont="1" applyAlignment="1">
      <alignment horizontal="center" wrapText="1"/>
    </xf>
    <xf numFmtId="0" fontId="0" fillId="0" borderId="114"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wrapText="1"/>
    </xf>
    <xf numFmtId="0" fontId="4" fillId="0" borderId="114" xfId="1" applyBorder="1" applyAlignment="1" applyProtection="1">
      <alignment horizontal="left" vertical="top" wrapText="1"/>
    </xf>
    <xf numFmtId="0" fontId="4" fillId="0" borderId="0" xfId="1" applyBorder="1" applyAlignment="1" applyProtection="1">
      <alignment horizontal="left" vertical="top" wrapText="1"/>
    </xf>
    <xf numFmtId="0" fontId="26" fillId="0" borderId="114" xfId="1" applyFont="1" applyBorder="1" applyAlignment="1" applyProtection="1">
      <alignment horizontal="left" vertical="top" wrapText="1"/>
      <protection hidden="1"/>
    </xf>
    <xf numFmtId="0" fontId="26" fillId="0" borderId="0" xfId="1" applyFont="1" applyBorder="1" applyAlignment="1" applyProtection="1">
      <alignment horizontal="left" vertical="top" wrapText="1"/>
      <protection hidden="1"/>
    </xf>
    <xf numFmtId="0" fontId="15" fillId="0" borderId="0" xfId="0" applyFont="1" applyAlignment="1" applyProtection="1">
      <alignment horizontal="right" vertical="top" wrapText="1"/>
      <protection hidden="1"/>
    </xf>
    <xf numFmtId="0" fontId="7" fillId="0" borderId="147" xfId="0" applyFont="1" applyBorder="1" applyAlignment="1" applyProtection="1">
      <alignment horizontal="left" vertical="top" wrapText="1" indent="1"/>
      <protection hidden="1"/>
    </xf>
    <xf numFmtId="0" fontId="7" fillId="0" borderId="139" xfId="0" applyFont="1" applyBorder="1" applyAlignment="1" applyProtection="1">
      <alignment horizontal="left" vertical="top" wrapText="1" indent="1"/>
      <protection hidden="1"/>
    </xf>
    <xf numFmtId="0" fontId="3" fillId="0" borderId="148" xfId="0" applyFont="1" applyBorder="1" applyAlignment="1" applyProtection="1">
      <alignment horizontal="left" vertical="top" wrapText="1" indent="1"/>
      <protection hidden="1"/>
    </xf>
    <xf numFmtId="0" fontId="3" fillId="0" borderId="128" xfId="0" applyFont="1" applyBorder="1" applyAlignment="1" applyProtection="1">
      <alignment horizontal="left" vertical="top" wrapText="1" indent="1"/>
      <protection hidden="1"/>
    </xf>
    <xf numFmtId="0" fontId="2" fillId="0" borderId="44" xfId="0" applyFont="1" applyBorder="1" applyAlignment="1" applyProtection="1">
      <alignment horizontal="center" vertical="top"/>
      <protection hidden="1"/>
    </xf>
    <xf numFmtId="0" fontId="2" fillId="0" borderId="45" xfId="0" applyFont="1" applyBorder="1" applyAlignment="1" applyProtection="1">
      <alignment horizontal="center" vertical="top"/>
      <protection hidden="1"/>
    </xf>
    <xf numFmtId="0" fontId="2" fillId="0" borderId="46" xfId="0" applyFont="1" applyBorder="1" applyAlignment="1" applyProtection="1">
      <alignment horizontal="center" vertical="top"/>
      <protection hidden="1"/>
    </xf>
    <xf numFmtId="0" fontId="2" fillId="0" borderId="12" xfId="0" applyFont="1" applyBorder="1" applyAlignment="1" applyProtection="1">
      <alignment horizontal="center" vertical="top" wrapText="1"/>
      <protection hidden="1"/>
    </xf>
    <xf numFmtId="0" fontId="2" fillId="0" borderId="49" xfId="0" applyFont="1" applyBorder="1" applyAlignment="1" applyProtection="1">
      <alignment horizontal="center" vertical="top" wrapText="1"/>
      <protection hidden="1"/>
    </xf>
    <xf numFmtId="0" fontId="2" fillId="0" borderId="35" xfId="0" applyFont="1" applyBorder="1" applyAlignment="1" applyProtection="1">
      <alignment horizontal="center" vertical="top" wrapText="1"/>
      <protection hidden="1"/>
    </xf>
    <xf numFmtId="0" fontId="2" fillId="0" borderId="50" xfId="0" applyFont="1" applyBorder="1" applyAlignment="1" applyProtection="1">
      <alignment horizontal="center" vertical="top" wrapText="1"/>
      <protection hidden="1"/>
    </xf>
    <xf numFmtId="0" fontId="10" fillId="0" borderId="147" xfId="0" applyFont="1" applyBorder="1" applyAlignment="1" applyProtection="1">
      <alignment horizontal="left" vertical="top" wrapText="1" indent="1"/>
      <protection hidden="1"/>
    </xf>
    <xf numFmtId="0" fontId="10" fillId="0" borderId="139" xfId="0" applyFont="1" applyBorder="1" applyAlignment="1" applyProtection="1">
      <alignment horizontal="left" vertical="top" wrapText="1" indent="1"/>
      <protection hidden="1"/>
    </xf>
    <xf numFmtId="0" fontId="10" fillId="0" borderId="21" xfId="0" applyFont="1" applyBorder="1" applyAlignment="1" applyProtection="1">
      <alignment horizontal="left" vertical="top" wrapText="1" indent="1"/>
      <protection hidden="1"/>
    </xf>
    <xf numFmtId="0" fontId="10" fillId="0" borderId="22" xfId="0" applyFont="1" applyBorder="1" applyAlignment="1" applyProtection="1">
      <alignment horizontal="left" vertical="top" wrapText="1" indent="1"/>
      <protection hidden="1"/>
    </xf>
    <xf numFmtId="0" fontId="2" fillId="0" borderId="3" xfId="0" applyFont="1" applyBorder="1" applyAlignment="1" applyProtection="1">
      <alignment horizontal="center" vertical="top" wrapText="1"/>
      <protection hidden="1"/>
    </xf>
    <xf numFmtId="0" fontId="2" fillId="0" borderId="10" xfId="0" applyFont="1" applyBorder="1" applyAlignment="1" applyProtection="1">
      <alignment horizontal="center" vertical="top" wrapText="1"/>
      <protection hidden="1"/>
    </xf>
    <xf numFmtId="0" fontId="9" fillId="0" borderId="148" xfId="0" applyFont="1" applyBorder="1" applyAlignment="1" applyProtection="1">
      <alignment horizontal="left" vertical="top" wrapText="1" indent="1"/>
      <protection hidden="1"/>
    </xf>
    <xf numFmtId="0" fontId="9" fillId="0" borderId="128" xfId="0" applyFont="1" applyBorder="1" applyAlignment="1" applyProtection="1">
      <alignment horizontal="left" vertical="top" wrapText="1" indent="1"/>
      <protection hidden="1"/>
    </xf>
    <xf numFmtId="0" fontId="2" fillId="0" borderId="103" xfId="0" applyFont="1" applyBorder="1" applyAlignment="1" applyProtection="1">
      <alignment horizontal="center" vertical="top" wrapText="1"/>
      <protection hidden="1"/>
    </xf>
    <xf numFmtId="0" fontId="2" fillId="0" borderId="104" xfId="0" applyFont="1" applyBorder="1" applyAlignment="1" applyProtection="1">
      <alignment horizontal="center" vertical="top" wrapText="1"/>
      <protection hidden="1"/>
    </xf>
    <xf numFmtId="0" fontId="2" fillId="0" borderId="154" xfId="0" applyFont="1" applyBorder="1" applyAlignment="1" applyProtection="1">
      <alignment horizontal="center" vertical="top" wrapText="1"/>
      <protection hidden="1"/>
    </xf>
    <xf numFmtId="0" fontId="2" fillId="0" borderId="105" xfId="0" applyFont="1" applyBorder="1" applyAlignment="1" applyProtection="1">
      <alignment horizontal="center" vertical="top" wrapText="1"/>
      <protection hidden="1"/>
    </xf>
    <xf numFmtId="0" fontId="5" fillId="0" borderId="2" xfId="0" applyFont="1" applyBorder="1" applyAlignment="1" applyProtection="1">
      <alignment horizontal="center" vertical="top" wrapText="1"/>
      <protection hidden="1"/>
    </xf>
    <xf numFmtId="0" fontId="5" fillId="0" borderId="8" xfId="0" applyFont="1" applyBorder="1" applyAlignment="1" applyProtection="1">
      <alignment horizontal="center" vertical="top" wrapText="1"/>
      <protection hidden="1"/>
    </xf>
    <xf numFmtId="0" fontId="5" fillId="0" borderId="5" xfId="0" applyFont="1" applyBorder="1" applyAlignment="1" applyProtection="1">
      <alignment horizontal="center" vertical="top" wrapText="1"/>
      <protection hidden="1"/>
    </xf>
    <xf numFmtId="0" fontId="2" fillId="0" borderId="9" xfId="0" applyFont="1" applyBorder="1" applyAlignment="1" applyProtection="1">
      <alignment horizontal="center" vertical="top" wrapText="1"/>
      <protection hidden="1"/>
    </xf>
    <xf numFmtId="0" fontId="2" fillId="0" borderId="6" xfId="0" applyFont="1" applyBorder="1" applyAlignment="1" applyProtection="1">
      <alignment horizontal="center" vertical="top" wrapText="1"/>
      <protection hidden="1"/>
    </xf>
    <xf numFmtId="0" fontId="3" fillId="0" borderId="59" xfId="0" applyFont="1" applyBorder="1" applyAlignment="1" applyProtection="1">
      <alignment horizontal="left" vertical="top" wrapText="1" indent="1"/>
      <protection hidden="1"/>
    </xf>
    <xf numFmtId="0" fontId="7" fillId="0" borderId="102" xfId="0" applyFont="1" applyBorder="1" applyAlignment="1" applyProtection="1">
      <alignment horizontal="left" vertical="top" wrapText="1" indent="1"/>
      <protection hidden="1"/>
    </xf>
    <xf numFmtId="0" fontId="9" fillId="0" borderId="16" xfId="0" applyFont="1" applyBorder="1" applyAlignment="1" applyProtection="1">
      <alignment horizontal="left" vertical="top" wrapText="1" indent="1"/>
      <protection hidden="1"/>
    </xf>
    <xf numFmtId="0" fontId="9" fillId="0" borderId="17" xfId="0" applyFont="1" applyBorder="1" applyAlignment="1" applyProtection="1">
      <alignment horizontal="left" vertical="top" wrapText="1" indent="1"/>
      <protection hidden="1"/>
    </xf>
    <xf numFmtId="4" fontId="14" fillId="0" borderId="0" xfId="0" applyNumberFormat="1" applyFont="1" applyAlignment="1">
      <alignment horizontal="right" vertical="top" wrapText="1"/>
    </xf>
    <xf numFmtId="49" fontId="2" fillId="0" borderId="12" xfId="0" applyNumberFormat="1" applyFont="1" applyBorder="1" applyAlignment="1">
      <alignment horizontal="center" wrapText="1"/>
    </xf>
    <xf numFmtId="49" fontId="2" fillId="0" borderId="49" xfId="0" applyNumberFormat="1" applyFont="1" applyBorder="1" applyAlignment="1">
      <alignment horizontal="center" wrapText="1"/>
    </xf>
    <xf numFmtId="0" fontId="2" fillId="0" borderId="35" xfId="0" applyFont="1" applyBorder="1" applyAlignment="1">
      <alignment horizontal="center" wrapText="1"/>
    </xf>
    <xf numFmtId="0" fontId="2" fillId="0" borderId="50" xfId="0" applyFont="1" applyBorder="1" applyAlignment="1">
      <alignment horizontal="center" wrapText="1"/>
    </xf>
    <xf numFmtId="0" fontId="2" fillId="0" borderId="44" xfId="0" applyFont="1" applyBorder="1" applyAlignment="1">
      <alignment horizontal="center" vertical="top"/>
    </xf>
    <xf numFmtId="0" fontId="2" fillId="0" borderId="45" xfId="0" applyFont="1" applyBorder="1" applyAlignment="1">
      <alignment horizontal="center" vertical="top"/>
    </xf>
    <xf numFmtId="0" fontId="2" fillId="0" borderId="46" xfId="0" applyFont="1" applyBorder="1" applyAlignment="1">
      <alignment horizontal="center" vertical="top"/>
    </xf>
    <xf numFmtId="0" fontId="5" fillId="0" borderId="40" xfId="0" applyFont="1" applyBorder="1" applyAlignment="1">
      <alignment horizontal="center" vertical="top" wrapText="1"/>
    </xf>
    <xf numFmtId="0" fontId="5" fillId="0" borderId="52" xfId="0" applyFont="1" applyBorder="1" applyAlignment="1">
      <alignment horizontal="center" vertical="top" wrapText="1"/>
    </xf>
    <xf numFmtId="0" fontId="5" fillId="0" borderId="53" xfId="0" applyFont="1" applyBorder="1" applyAlignment="1">
      <alignment horizontal="center" vertical="top" wrapText="1"/>
    </xf>
    <xf numFmtId="0" fontId="2" fillId="0" borderId="41" xfId="0" applyFont="1" applyBorder="1" applyAlignment="1">
      <alignment horizontal="center" vertical="top" wrapText="1"/>
    </xf>
    <xf numFmtId="0" fontId="2" fillId="0" borderId="54" xfId="0" applyFont="1" applyBorder="1" applyAlignment="1">
      <alignment horizontal="center" vertical="top" wrapText="1"/>
    </xf>
    <xf numFmtId="0" fontId="2" fillId="0" borderId="49" xfId="0" applyFont="1" applyBorder="1" applyAlignment="1">
      <alignment horizontal="center" vertical="top" wrapText="1"/>
    </xf>
    <xf numFmtId="0" fontId="2" fillId="0" borderId="3" xfId="0" applyFont="1" applyBorder="1" applyAlignment="1">
      <alignment horizontal="center" vertical="top" wrapText="1"/>
    </xf>
    <xf numFmtId="0" fontId="2" fillId="0" borderId="9" xfId="0" applyFont="1" applyBorder="1" applyAlignment="1">
      <alignment horizontal="center" vertical="top" wrapText="1"/>
    </xf>
    <xf numFmtId="0" fontId="2" fillId="0" borderId="6" xfId="0" applyFont="1" applyBorder="1" applyAlignment="1">
      <alignment horizontal="center" vertical="top" wrapText="1"/>
    </xf>
    <xf numFmtId="0" fontId="2" fillId="0" borderId="10" xfId="0" applyFont="1" applyBorder="1" applyAlignment="1">
      <alignment horizontal="center" vertical="top" wrapText="1"/>
    </xf>
    <xf numFmtId="0" fontId="2" fillId="0" borderId="45" xfId="0" applyFont="1" applyBorder="1" applyAlignment="1">
      <alignment horizontal="center" vertical="top" wrapText="1"/>
    </xf>
    <xf numFmtId="0" fontId="2" fillId="0" borderId="46" xfId="0" applyFont="1" applyBorder="1" applyAlignment="1">
      <alignment horizontal="center" vertical="top" wrapText="1"/>
    </xf>
    <xf numFmtId="0" fontId="2" fillId="0" borderId="40" xfId="0" applyFont="1" applyBorder="1" applyAlignment="1">
      <alignment horizontal="center" vertical="top" wrapText="1"/>
    </xf>
    <xf numFmtId="0" fontId="2" fillId="0" borderId="42" xfId="0" applyFont="1" applyBorder="1" applyAlignment="1">
      <alignment horizontal="center" vertical="top" wrapText="1"/>
    </xf>
    <xf numFmtId="0" fontId="2" fillId="0" borderId="43" xfId="0" applyFont="1" applyBorder="1" applyAlignment="1">
      <alignment horizontal="center" vertical="top" wrapText="1"/>
    </xf>
    <xf numFmtId="0" fontId="11" fillId="0" borderId="79" xfId="0" applyFont="1" applyBorder="1" applyAlignment="1">
      <alignment horizontal="left" vertical="top" wrapText="1" indent="1"/>
    </xf>
    <xf numFmtId="0" fontId="11" fillId="0" borderId="76" xfId="0" applyFont="1" applyBorder="1" applyAlignment="1">
      <alignment horizontal="left" vertical="top" wrapText="1" indent="1"/>
    </xf>
    <xf numFmtId="0" fontId="11" fillId="0" borderId="77" xfId="0" applyFont="1" applyBorder="1" applyAlignment="1">
      <alignment horizontal="left" vertical="top" wrapText="1" indent="1"/>
    </xf>
    <xf numFmtId="0" fontId="2" fillId="0" borderId="117" xfId="0" applyFont="1" applyBorder="1" applyAlignment="1">
      <alignment horizontal="center" vertical="top" wrapText="1"/>
    </xf>
    <xf numFmtId="0" fontId="2" fillId="0" borderId="124" xfId="0" applyFont="1" applyBorder="1" applyAlignment="1">
      <alignment horizontal="center" vertical="top" wrapText="1"/>
    </xf>
    <xf numFmtId="0" fontId="11" fillId="0" borderId="178" xfId="0" applyFont="1" applyBorder="1" applyAlignment="1">
      <alignment horizontal="left" vertical="top" wrapText="1" indent="1"/>
    </xf>
    <xf numFmtId="0" fontId="11" fillId="0" borderId="181" xfId="0" applyFont="1" applyBorder="1" applyAlignment="1">
      <alignment horizontal="left" vertical="top" wrapText="1" indent="1"/>
    </xf>
    <xf numFmtId="0" fontId="11" fillId="0" borderId="147" xfId="0" applyFont="1" applyBorder="1" applyAlignment="1">
      <alignment horizontal="left" vertical="top" wrapText="1" indent="1"/>
    </xf>
    <xf numFmtId="0" fontId="11" fillId="0" borderId="139" xfId="0" applyFont="1" applyBorder="1" applyAlignment="1">
      <alignment horizontal="left" vertical="top" wrapText="1" indent="1"/>
    </xf>
    <xf numFmtId="0" fontId="11" fillId="0" borderId="21" xfId="0" applyFont="1" applyBorder="1" applyAlignment="1">
      <alignment horizontal="left" vertical="top" wrapText="1" indent="1"/>
    </xf>
    <xf numFmtId="0" fontId="11" fillId="0" borderId="22" xfId="0" applyFont="1" applyBorder="1" applyAlignment="1">
      <alignment horizontal="left" vertical="top" wrapText="1" indent="1"/>
    </xf>
    <xf numFmtId="0" fontId="11" fillId="0" borderId="28" xfId="0" applyFont="1" applyBorder="1" applyAlignment="1">
      <alignment horizontal="left" vertical="top" wrapText="1" indent="1"/>
    </xf>
    <xf numFmtId="0" fontId="5" fillId="0" borderId="87" xfId="0" applyFont="1" applyBorder="1" applyAlignment="1">
      <alignment horizontal="center" vertical="top" wrapText="1"/>
    </xf>
    <xf numFmtId="0" fontId="5" fillId="0" borderId="89" xfId="0" applyFont="1" applyBorder="1" applyAlignment="1">
      <alignment horizontal="center" vertical="top" wrapText="1"/>
    </xf>
    <xf numFmtId="0" fontId="5" fillId="0" borderId="80" xfId="0" applyFont="1" applyBorder="1" applyAlignment="1">
      <alignment horizontal="center" vertical="top" wrapText="1"/>
    </xf>
    <xf numFmtId="0" fontId="2" fillId="0" borderId="87" xfId="0" applyFont="1" applyBorder="1" applyAlignment="1">
      <alignment horizontal="center" vertical="top" wrapText="1"/>
    </xf>
    <xf numFmtId="0" fontId="2" fillId="0" borderId="89" xfId="0" applyFont="1" applyBorder="1" applyAlignment="1">
      <alignment horizontal="center" vertical="top" wrapText="1"/>
    </xf>
    <xf numFmtId="0" fontId="2" fillId="0" borderId="80" xfId="0" applyFont="1" applyBorder="1" applyAlignment="1">
      <alignment horizontal="center" vertical="top" wrapText="1"/>
    </xf>
    <xf numFmtId="0" fontId="2" fillId="0" borderId="86" xfId="0" applyFont="1" applyBorder="1" applyAlignment="1">
      <alignment horizontal="center" vertical="top" wrapText="1"/>
    </xf>
    <xf numFmtId="0" fontId="2" fillId="0" borderId="184" xfId="0" applyFont="1" applyBorder="1" applyAlignment="1">
      <alignment horizontal="center" vertical="top" wrapText="1"/>
    </xf>
    <xf numFmtId="0" fontId="2" fillId="0" borderId="185" xfId="0" applyFont="1" applyBorder="1" applyAlignment="1">
      <alignment horizontal="center" vertical="top" wrapText="1"/>
    </xf>
    <xf numFmtId="0" fontId="29" fillId="0" borderId="22" xfId="0" applyFont="1" applyFill="1" applyBorder="1" applyAlignment="1">
      <alignment horizontal="left" vertical="top" wrapText="1"/>
    </xf>
    <xf numFmtId="0" fontId="5" fillId="0" borderId="101" xfId="0" applyFont="1" applyBorder="1" applyAlignment="1">
      <alignment horizontal="center" vertical="top" wrapText="1"/>
    </xf>
    <xf numFmtId="0" fontId="5" fillId="0" borderId="99" xfId="0" applyFont="1" applyBorder="1" applyAlignment="1">
      <alignment horizontal="center" vertical="top" wrapText="1"/>
    </xf>
    <xf numFmtId="0" fontId="5" fillId="0" borderId="111" xfId="0" applyFont="1" applyBorder="1" applyAlignment="1">
      <alignment horizontal="center" vertical="top" wrapText="1"/>
    </xf>
    <xf numFmtId="4" fontId="17" fillId="0" borderId="0" xfId="0" applyNumberFormat="1" applyFont="1" applyAlignment="1">
      <alignment horizontal="center" vertical="top" wrapText="1"/>
    </xf>
    <xf numFmtId="0" fontId="6" fillId="0" borderId="87" xfId="0" applyFont="1" applyBorder="1" applyAlignment="1">
      <alignment horizontal="center" vertical="top" wrapText="1"/>
    </xf>
    <xf numFmtId="0" fontId="6" fillId="0" borderId="80" xfId="0" applyFont="1" applyBorder="1" applyAlignment="1">
      <alignment horizontal="center" vertical="top" wrapText="1"/>
    </xf>
    <xf numFmtId="0" fontId="2" fillId="0" borderId="87" xfId="0" applyFont="1" applyBorder="1" applyAlignment="1">
      <alignment horizontal="center" vertical="top"/>
    </xf>
    <xf numFmtId="0" fontId="2" fillId="0" borderId="80" xfId="0" applyFont="1" applyBorder="1" applyAlignment="1">
      <alignment horizontal="center" vertical="top"/>
    </xf>
    <xf numFmtId="0" fontId="2" fillId="0" borderId="67" xfId="0" applyFont="1" applyBorder="1" applyAlignment="1">
      <alignment horizontal="center" vertical="top" wrapText="1"/>
    </xf>
    <xf numFmtId="4" fontId="14" fillId="0" borderId="0" xfId="0" applyNumberFormat="1" applyFont="1" applyAlignment="1">
      <alignment horizontal="center" vertical="top" wrapText="1"/>
    </xf>
    <xf numFmtId="4" fontId="3" fillId="0" borderId="0" xfId="0" applyNumberFormat="1" applyFont="1" applyAlignment="1">
      <alignment horizontal="center" vertical="top" wrapText="1"/>
    </xf>
    <xf numFmtId="0" fontId="2" fillId="0" borderId="101" xfId="0" applyFont="1" applyBorder="1" applyAlignment="1">
      <alignment horizontal="center" vertical="top" wrapText="1"/>
    </xf>
    <xf numFmtId="0" fontId="2" fillId="0" borderId="63" xfId="0" applyFont="1" applyBorder="1" applyAlignment="1">
      <alignment horizontal="center" vertical="top" wrapText="1"/>
    </xf>
    <xf numFmtId="0" fontId="2" fillId="0" borderId="84" xfId="0" applyFont="1" applyBorder="1" applyAlignment="1">
      <alignment horizontal="center" vertical="top" wrapText="1"/>
    </xf>
    <xf numFmtId="0" fontId="7" fillId="0" borderId="101" xfId="0" applyFont="1" applyFill="1" applyBorder="1" applyAlignment="1">
      <alignment horizontal="left" vertical="center" wrapText="1"/>
    </xf>
    <xf numFmtId="0" fontId="7" fillId="0" borderId="63" xfId="0" applyFont="1" applyFill="1" applyBorder="1" applyAlignment="1">
      <alignment horizontal="left" vertical="center" wrapText="1"/>
    </xf>
    <xf numFmtId="0" fontId="2" fillId="0" borderId="66" xfId="0" applyFont="1" applyBorder="1" applyAlignment="1">
      <alignment horizontal="center" vertical="top" wrapText="1"/>
    </xf>
    <xf numFmtId="0" fontId="2" fillId="0" borderId="68" xfId="0" applyFont="1" applyBorder="1" applyAlignment="1">
      <alignment horizontal="center" vertical="top" wrapText="1"/>
    </xf>
    <xf numFmtId="0" fontId="7" fillId="0" borderId="66" xfId="0" applyFont="1" applyFill="1" applyBorder="1" applyAlignment="1">
      <alignment horizontal="left" vertical="top" wrapText="1"/>
    </xf>
    <xf numFmtId="0" fontId="7" fillId="0" borderId="67" xfId="0" applyFont="1" applyFill="1" applyBorder="1" applyAlignment="1">
      <alignment horizontal="left" vertical="top" wrapText="1"/>
    </xf>
    <xf numFmtId="0" fontId="7" fillId="0" borderId="68" xfId="0" applyFont="1" applyFill="1" applyBorder="1" applyAlignment="1">
      <alignment horizontal="left" vertical="top" wrapText="1"/>
    </xf>
    <xf numFmtId="0" fontId="19" fillId="0" borderId="66" xfId="0" applyFont="1" applyFill="1" applyBorder="1" applyAlignment="1">
      <alignment horizontal="left" vertical="top" wrapText="1"/>
    </xf>
    <xf numFmtId="0" fontId="7" fillId="0" borderId="66" xfId="0" applyFont="1" applyFill="1" applyBorder="1" applyAlignment="1">
      <alignment horizontal="left" vertical="center" wrapText="1"/>
    </xf>
    <xf numFmtId="0" fontId="7" fillId="0" borderId="67" xfId="0" applyFont="1" applyFill="1" applyBorder="1" applyAlignment="1">
      <alignment horizontal="left" vertical="center" wrapText="1"/>
    </xf>
    <xf numFmtId="0" fontId="7" fillId="0" borderId="84" xfId="0" applyFont="1" applyFill="1" applyBorder="1" applyAlignment="1">
      <alignment horizontal="left" vertical="center" wrapText="1"/>
    </xf>
    <xf numFmtId="0" fontId="2" fillId="0" borderId="67" xfId="0" applyFont="1" applyBorder="1" applyAlignment="1">
      <alignment horizontal="center" vertical="top"/>
    </xf>
    <xf numFmtId="0" fontId="2" fillId="0" borderId="68" xfId="0" applyFont="1" applyBorder="1" applyAlignment="1">
      <alignment horizontal="center" vertical="top"/>
    </xf>
    <xf numFmtId="0" fontId="7" fillId="0" borderId="68" xfId="0" applyFont="1" applyFill="1" applyBorder="1" applyAlignment="1">
      <alignment horizontal="left" vertical="center" wrapText="1"/>
    </xf>
    <xf numFmtId="0" fontId="2" fillId="0" borderId="65" xfId="0" applyFont="1" applyBorder="1" applyAlignment="1">
      <alignment horizontal="center" vertical="top" wrapText="1"/>
    </xf>
    <xf numFmtId="0" fontId="2" fillId="0" borderId="64" xfId="0" applyFont="1" applyBorder="1" applyAlignment="1">
      <alignment horizontal="center" vertical="top" wrapText="1"/>
    </xf>
    <xf numFmtId="0" fontId="2" fillId="0" borderId="52" xfId="0" applyFont="1" applyBorder="1" applyAlignment="1">
      <alignment horizontal="center" vertical="top" wrapText="1"/>
    </xf>
    <xf numFmtId="0" fontId="2" fillId="0" borderId="53" xfId="0" applyFont="1" applyBorder="1" applyAlignment="1">
      <alignment horizontal="center" vertical="top" wrapText="1"/>
    </xf>
    <xf numFmtId="0" fontId="3" fillId="0" borderId="40" xfId="0" applyNumberFormat="1" applyFont="1" applyBorder="1" applyAlignment="1">
      <alignment horizontal="left" vertical="top" wrapText="1"/>
    </xf>
    <xf numFmtId="0" fontId="3" fillId="0" borderId="52" xfId="0" applyNumberFormat="1" applyFont="1" applyBorder="1" applyAlignment="1">
      <alignment horizontal="left" vertical="top" wrapText="1"/>
    </xf>
    <xf numFmtId="0" fontId="3" fillId="0" borderId="53" xfId="0" applyNumberFormat="1" applyFont="1" applyBorder="1" applyAlignment="1">
      <alignment horizontal="left" vertical="top" wrapText="1"/>
    </xf>
    <xf numFmtId="0" fontId="24" fillId="0" borderId="91" xfId="0" applyFont="1" applyFill="1" applyBorder="1" applyAlignment="1">
      <alignment vertical="center" wrapText="1"/>
    </xf>
    <xf numFmtId="0" fontId="24" fillId="0" borderId="90" xfId="0" applyFont="1" applyFill="1" applyBorder="1" applyAlignment="1">
      <alignment vertical="center" wrapText="1"/>
    </xf>
    <xf numFmtId="4" fontId="16" fillId="0" borderId="0" xfId="0" applyNumberFormat="1" applyFont="1" applyAlignment="1">
      <alignment horizontal="center" vertical="top" wrapText="1"/>
    </xf>
    <xf numFmtId="0" fontId="5" fillId="2" borderId="40" xfId="0" applyFont="1" applyFill="1" applyBorder="1" applyAlignment="1">
      <alignment horizontal="center" vertical="top" wrapText="1"/>
    </xf>
    <xf numFmtId="0" fontId="5" fillId="2" borderId="52" xfId="0" applyFont="1" applyFill="1" applyBorder="1" applyAlignment="1">
      <alignment horizontal="center" vertical="top" wrapText="1"/>
    </xf>
    <xf numFmtId="0" fontId="5" fillId="2" borderId="53" xfId="0" applyFont="1" applyFill="1" applyBorder="1" applyAlignment="1">
      <alignment horizontal="center" vertical="top" wrapText="1"/>
    </xf>
    <xf numFmtId="0" fontId="2" fillId="2" borderId="43" xfId="0" applyFont="1" applyFill="1" applyBorder="1" applyAlignment="1">
      <alignment horizontal="center" vertical="top" wrapText="1"/>
    </xf>
    <xf numFmtId="0" fontId="2" fillId="2" borderId="65" xfId="0" applyFont="1" applyFill="1" applyBorder="1" applyAlignment="1">
      <alignment horizontal="center" vertical="top" wrapText="1"/>
    </xf>
    <xf numFmtId="0" fontId="2" fillId="2" borderId="64" xfId="0" applyFont="1" applyFill="1" applyBorder="1" applyAlignment="1">
      <alignment horizontal="center" vertical="top" wrapText="1"/>
    </xf>
    <xf numFmtId="0" fontId="2" fillId="2" borderId="69" xfId="0" applyFont="1" applyFill="1" applyBorder="1" applyAlignment="1">
      <alignment horizontal="center" vertical="top" wrapText="1"/>
    </xf>
    <xf numFmtId="0" fontId="2" fillId="2" borderId="87" xfId="0" applyFont="1" applyFill="1" applyBorder="1" applyAlignment="1">
      <alignment horizontal="center" vertical="top" wrapText="1"/>
    </xf>
    <xf numFmtId="0" fontId="2" fillId="2" borderId="89" xfId="0" applyFont="1" applyFill="1" applyBorder="1" applyAlignment="1">
      <alignment horizontal="center" vertical="top" wrapText="1"/>
    </xf>
    <xf numFmtId="0" fontId="2" fillId="2" borderId="80" xfId="0" applyFont="1" applyFill="1" applyBorder="1" applyAlignment="1">
      <alignment horizontal="center" vertical="top" wrapText="1"/>
    </xf>
    <xf numFmtId="2" fontId="3" fillId="0" borderId="0" xfId="0" applyNumberFormat="1" applyFont="1" applyAlignment="1">
      <alignment horizontal="center" vertical="top" wrapText="1"/>
    </xf>
    <xf numFmtId="0" fontId="7" fillId="2" borderId="66"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6" borderId="66" xfId="0" applyFont="1" applyFill="1" applyBorder="1" applyAlignment="1">
      <alignment horizontal="left" vertical="center" wrapText="1"/>
    </xf>
    <xf numFmtId="0" fontId="7" fillId="6" borderId="67" xfId="0" applyFont="1" applyFill="1" applyBorder="1" applyAlignment="1">
      <alignment horizontal="left" vertical="center" wrapText="1"/>
    </xf>
    <xf numFmtId="0" fontId="7" fillId="6" borderId="68" xfId="0" applyFont="1" applyFill="1" applyBorder="1" applyAlignment="1">
      <alignment horizontal="left" vertical="center" wrapText="1"/>
    </xf>
    <xf numFmtId="0" fontId="7" fillId="2" borderId="63" xfId="0" applyFont="1" applyFill="1" applyBorder="1" applyAlignment="1">
      <alignment horizontal="left" vertical="center" wrapText="1"/>
    </xf>
    <xf numFmtId="0" fontId="7" fillId="2" borderId="84" xfId="0" applyFont="1" applyFill="1" applyBorder="1" applyAlignment="1">
      <alignment horizontal="left" vertical="center" wrapText="1"/>
    </xf>
    <xf numFmtId="0" fontId="2" fillId="0" borderId="69" xfId="0" applyFont="1" applyBorder="1" applyAlignment="1">
      <alignment horizontal="center" vertical="top" wrapText="1"/>
    </xf>
    <xf numFmtId="0" fontId="20" fillId="0" borderId="87" xfId="0" applyFont="1" applyBorder="1" applyAlignment="1">
      <alignment horizontal="center" vertical="top" wrapText="1"/>
    </xf>
    <xf numFmtId="0" fontId="20" fillId="0" borderId="80" xfId="0" applyFont="1" applyBorder="1" applyAlignment="1">
      <alignment horizontal="center" vertical="top" wrapText="1"/>
    </xf>
    <xf numFmtId="0" fontId="49" fillId="0" borderId="87" xfId="0" applyFont="1" applyBorder="1" applyAlignment="1">
      <alignment wrapText="1"/>
    </xf>
    <xf numFmtId="0" fontId="49" fillId="0" borderId="89" xfId="0" applyFont="1" applyBorder="1" applyAlignment="1">
      <alignment wrapText="1"/>
    </xf>
    <xf numFmtId="0" fontId="49" fillId="0" borderId="80" xfId="0" applyFont="1" applyBorder="1" applyAlignment="1">
      <alignment wrapText="1"/>
    </xf>
    <xf numFmtId="0" fontId="48" fillId="9" borderId="87" xfId="0" applyFont="1" applyFill="1" applyBorder="1" applyAlignment="1">
      <alignment horizontal="center" wrapText="1"/>
    </xf>
    <xf numFmtId="0" fontId="48" fillId="9" borderId="89" xfId="0" applyFont="1" applyFill="1" applyBorder="1" applyAlignment="1">
      <alignment horizontal="center" wrapText="1"/>
    </xf>
    <xf numFmtId="0" fontId="48" fillId="9" borderId="80" xfId="0" applyFont="1" applyFill="1" applyBorder="1" applyAlignment="1">
      <alignment horizontal="center" wrapText="1"/>
    </xf>
    <xf numFmtId="0" fontId="48" fillId="0" borderId="87" xfId="0" applyFont="1" applyBorder="1" applyAlignment="1">
      <alignment wrapText="1"/>
    </xf>
    <xf numFmtId="0" fontId="48" fillId="0" borderId="89" xfId="0" applyFont="1" applyBorder="1" applyAlignment="1">
      <alignment wrapText="1"/>
    </xf>
    <xf numFmtId="0" fontId="48" fillId="0" borderId="80" xfId="0" applyFont="1" applyBorder="1" applyAlignment="1">
      <alignment wrapText="1"/>
    </xf>
    <xf numFmtId="0" fontId="54" fillId="10" borderId="87" xfId="0" applyFont="1" applyFill="1" applyBorder="1" applyAlignment="1">
      <alignment horizontal="center" wrapText="1"/>
    </xf>
    <xf numFmtId="0" fontId="54" fillId="10" borderId="89" xfId="0" applyFont="1" applyFill="1" applyBorder="1" applyAlignment="1">
      <alignment horizontal="center" wrapText="1"/>
    </xf>
    <xf numFmtId="0" fontId="54" fillId="10" borderId="80" xfId="0" applyFont="1" applyFill="1" applyBorder="1" applyAlignment="1">
      <alignment horizontal="center" wrapText="1"/>
    </xf>
    <xf numFmtId="0" fontId="49" fillId="0" borderId="87" xfId="0" applyFont="1" applyBorder="1" applyAlignment="1">
      <alignment horizontal="center" wrapText="1"/>
    </xf>
    <xf numFmtId="0" fontId="49" fillId="0" borderId="89" xfId="0" applyFont="1" applyBorder="1" applyAlignment="1">
      <alignment horizontal="center" wrapText="1"/>
    </xf>
    <xf numFmtId="0" fontId="49" fillId="0" borderId="80" xfId="0" applyFont="1" applyBorder="1" applyAlignment="1">
      <alignment horizontal="center" wrapText="1"/>
    </xf>
    <xf numFmtId="0" fontId="48" fillId="12" borderId="87" xfId="0" applyFont="1" applyFill="1" applyBorder="1" applyAlignment="1">
      <alignment horizontal="center" wrapText="1"/>
    </xf>
    <xf numFmtId="0" fontId="48" fillId="12" borderId="89" xfId="0" applyFont="1" applyFill="1" applyBorder="1" applyAlignment="1">
      <alignment horizontal="center" wrapText="1"/>
    </xf>
    <xf numFmtId="0" fontId="48" fillId="12" borderId="80" xfId="0" applyFont="1" applyFill="1" applyBorder="1" applyAlignment="1">
      <alignment horizontal="center" wrapText="1"/>
    </xf>
    <xf numFmtId="0" fontId="54" fillId="12" borderId="87" xfId="0" applyFont="1" applyFill="1" applyBorder="1" applyAlignment="1">
      <alignment horizontal="center" wrapText="1"/>
    </xf>
    <xf numFmtId="0" fontId="54" fillId="12" borderId="89" xfId="0" applyFont="1" applyFill="1" applyBorder="1" applyAlignment="1">
      <alignment horizontal="center" wrapText="1"/>
    </xf>
    <xf numFmtId="0" fontId="54" fillId="12" borderId="80" xfId="0" applyFont="1" applyFill="1" applyBorder="1" applyAlignment="1">
      <alignment horizontal="center" wrapText="1"/>
    </xf>
    <xf numFmtId="0" fontId="187" fillId="0" borderId="87" xfId="0" applyFont="1" applyBorder="1" applyAlignment="1">
      <alignment horizontal="justify" vertical="top" wrapText="1"/>
    </xf>
    <xf numFmtId="0" fontId="187" fillId="0" borderId="89" xfId="0" applyFont="1" applyBorder="1" applyAlignment="1">
      <alignment horizontal="justify" vertical="top" wrapText="1"/>
    </xf>
    <xf numFmtId="0" fontId="187" fillId="0" borderId="80" xfId="0" applyFont="1" applyBorder="1" applyAlignment="1">
      <alignment horizontal="justify" vertical="top" wrapText="1"/>
    </xf>
    <xf numFmtId="0" fontId="0" fillId="0" borderId="0" xfId="0" applyFill="1" applyBorder="1" applyAlignment="1">
      <alignment horizontal="center" vertical="top"/>
    </xf>
    <xf numFmtId="0" fontId="190" fillId="0" borderId="0" xfId="0" applyFont="1" applyFill="1" applyBorder="1" applyAlignment="1">
      <alignment horizontal="center" vertical="top"/>
    </xf>
    <xf numFmtId="2" fontId="192" fillId="0" borderId="210" xfId="0" applyNumberFormat="1" applyFont="1" applyFill="1" applyBorder="1" applyAlignment="1">
      <alignment horizontal="right" vertical="top" shrinkToFit="1"/>
    </xf>
    <xf numFmtId="0" fontId="33" fillId="0" borderId="0" xfId="0" applyFont="1" applyFill="1" applyBorder="1" applyAlignment="1">
      <alignment horizontal="left" vertical="top"/>
    </xf>
    <xf numFmtId="0" fontId="194" fillId="0" borderId="0" xfId="0" applyFont="1" applyFill="1" applyBorder="1" applyAlignment="1">
      <alignment horizontal="left" vertical="top"/>
    </xf>
    <xf numFmtId="0" fontId="195" fillId="0" borderId="0" xfId="0" applyFont="1" applyFill="1" applyBorder="1" applyAlignment="1">
      <alignment horizontal="left" vertical="top"/>
    </xf>
    <xf numFmtId="0" fontId="196" fillId="0" borderId="0" xfId="0" applyFont="1" applyFill="1" applyBorder="1" applyAlignment="1">
      <alignment horizontal="center" vertical="top"/>
    </xf>
    <xf numFmtId="0" fontId="193" fillId="0" borderId="70" xfId="0" applyFont="1" applyFill="1" applyBorder="1" applyAlignment="1">
      <alignment horizontal="center" vertical="top"/>
    </xf>
    <xf numFmtId="2" fontId="192" fillId="0" borderId="215" xfId="0" applyNumberFormat="1" applyFont="1" applyFill="1" applyBorder="1" applyAlignment="1">
      <alignment horizontal="right" vertical="top" shrinkToFit="1"/>
    </xf>
    <xf numFmtId="2" fontId="190" fillId="6" borderId="1" xfId="0" applyNumberFormat="1" applyFont="1" applyFill="1" applyBorder="1" applyAlignment="1">
      <alignment horizontal="center" vertical="center"/>
    </xf>
    <xf numFmtId="2" fontId="197" fillId="0" borderId="1" xfId="0" applyNumberFormat="1" applyFont="1" applyBorder="1" applyAlignment="1">
      <alignment horizontal="center" vertical="center"/>
    </xf>
    <xf numFmtId="2" fontId="190" fillId="0" borderId="1" xfId="0" applyNumberFormat="1" applyFont="1" applyFill="1" applyBorder="1" applyAlignment="1">
      <alignment horizontal="center" vertical="center"/>
    </xf>
    <xf numFmtId="2" fontId="190" fillId="6" borderId="9" xfId="0" applyNumberFormat="1" applyFont="1" applyFill="1" applyBorder="1" applyAlignment="1">
      <alignment horizontal="center" vertical="center"/>
    </xf>
    <xf numFmtId="4" fontId="197" fillId="0" borderId="9" xfId="0" applyNumberFormat="1" applyFont="1" applyBorder="1" applyAlignment="1">
      <alignment horizontal="center" vertical="center"/>
    </xf>
    <xf numFmtId="0" fontId="0" fillId="0" borderId="0" xfId="0" applyBorder="1"/>
    <xf numFmtId="0" fontId="3" fillId="0" borderId="0" xfId="0" applyFont="1" applyBorder="1" applyAlignment="1" applyProtection="1">
      <alignment vertical="top"/>
      <protection hidden="1"/>
    </xf>
    <xf numFmtId="0" fontId="3" fillId="16" borderId="67" xfId="0" applyFont="1" applyFill="1" applyBorder="1" applyAlignment="1" applyProtection="1">
      <alignment vertical="top"/>
      <protection hidden="1"/>
    </xf>
    <xf numFmtId="0" fontId="3" fillId="16" borderId="68" xfId="0" applyFont="1" applyFill="1" applyBorder="1" applyAlignment="1" applyProtection="1">
      <alignment vertical="top"/>
      <protection hidden="1"/>
    </xf>
    <xf numFmtId="0" fontId="0" fillId="7" borderId="0" xfId="0" applyFill="1" applyBorder="1" applyAlignment="1">
      <alignment horizontal="left" vertical="top"/>
    </xf>
    <xf numFmtId="0" fontId="0" fillId="7" borderId="0" xfId="0" applyFill="1" applyBorder="1" applyAlignment="1">
      <alignment horizontal="center" vertical="top"/>
    </xf>
    <xf numFmtId="0" fontId="190" fillId="7" borderId="0" xfId="0" applyFont="1" applyFill="1" applyBorder="1" applyAlignment="1">
      <alignment horizontal="center" vertical="top"/>
    </xf>
    <xf numFmtId="0" fontId="0" fillId="7" borderId="0" xfId="0" applyFill="1"/>
    <xf numFmtId="1" fontId="192" fillId="0" borderId="219" xfId="0" applyNumberFormat="1" applyFont="1" applyFill="1" applyBorder="1" applyAlignment="1">
      <alignment horizontal="center" vertical="center" shrinkToFit="1"/>
    </xf>
    <xf numFmtId="1" fontId="192" fillId="0" borderId="51" xfId="0" applyNumberFormat="1" applyFont="1" applyFill="1" applyBorder="1" applyAlignment="1">
      <alignment horizontal="center" vertical="center" shrinkToFit="1"/>
    </xf>
    <xf numFmtId="0" fontId="109" fillId="0" borderId="219" xfId="0" applyFont="1" applyFill="1" applyBorder="1" applyAlignment="1">
      <alignment horizontal="left" vertical="center" wrapText="1"/>
    </xf>
    <xf numFmtId="0" fontId="109" fillId="0" borderId="51" xfId="0" applyFont="1" applyFill="1" applyBorder="1" applyAlignment="1">
      <alignment horizontal="left" vertical="center" wrapText="1"/>
    </xf>
    <xf numFmtId="0" fontId="198" fillId="0" borderId="70" xfId="0" applyFont="1" applyFill="1" applyBorder="1" applyAlignment="1">
      <alignment horizontal="center" vertical="top" wrapText="1"/>
    </xf>
    <xf numFmtId="0" fontId="0" fillId="0" borderId="67" xfId="0" applyFont="1" applyFill="1" applyBorder="1" applyAlignment="1">
      <alignment horizontal="center" vertical="top" wrapText="1"/>
    </xf>
    <xf numFmtId="0" fontId="0" fillId="0" borderId="154" xfId="0" applyFont="1" applyFill="1" applyBorder="1" applyAlignment="1">
      <alignment horizontal="left" vertical="top"/>
    </xf>
    <xf numFmtId="0" fontId="200" fillId="0" borderId="154" xfId="0" applyFont="1" applyFill="1" applyBorder="1" applyAlignment="1">
      <alignment horizontal="center" vertical="center" wrapText="1"/>
    </xf>
    <xf numFmtId="0" fontId="201" fillId="0" borderId="70" xfId="0" applyFont="1" applyBorder="1" applyAlignment="1">
      <alignment vertical="center"/>
    </xf>
    <xf numFmtId="0" fontId="202" fillId="0" borderId="0" xfId="0" applyFont="1" applyAlignment="1">
      <alignment wrapText="1"/>
    </xf>
    <xf numFmtId="0" fontId="11" fillId="16" borderId="66" xfId="0" applyFont="1" applyFill="1" applyBorder="1" applyAlignment="1" applyProtection="1">
      <alignment vertical="top"/>
      <protection hidden="1"/>
    </xf>
  </cellXfs>
  <cellStyles count="12">
    <cellStyle name="Currency 2" xfId="6"/>
    <cellStyle name="Normal 4" xfId="5"/>
    <cellStyle name="Гиперссылка" xfId="1" builtinId="8"/>
    <cellStyle name="Обычный" xfId="0" builtinId="0"/>
    <cellStyle name="Обычный 11 3" xfId="10"/>
    <cellStyle name="Обычный 175" xfId="8"/>
    <cellStyle name="Обычный 182" xfId="9"/>
    <cellStyle name="Обычный 2" xfId="4"/>
    <cellStyle name="Обычный_06-05-01 ПРАЙС-ЛИСТ АКСИ" xfId="2"/>
    <cellStyle name="Обычный_Vilpe1" xfId="7"/>
    <cellStyle name="Процентный" xfId="11" builtinId="5"/>
    <cellStyle name="Финансовый" xfId="3"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1</xdr:row>
      <xdr:rowOff>1</xdr:rowOff>
    </xdr:from>
    <xdr:to>
      <xdr:col>16</xdr:col>
      <xdr:colOff>595313</xdr:colOff>
      <xdr:row>7</xdr:row>
      <xdr:rowOff>1</xdr:rowOff>
    </xdr:to>
    <xdr:pic>
      <xdr:nvPicPr>
        <xdr:cNvPr id="2" name="Рисунок 1" descr="шляпа центр-тим.png"/>
        <xdr:cNvPicPr>
          <a:picLocks noChangeAspect="1"/>
        </xdr:cNvPicPr>
      </xdr:nvPicPr>
      <xdr:blipFill>
        <a:blip xmlns:r="http://schemas.openxmlformats.org/officeDocument/2006/relationships" r:embed="rId1" cstate="print"/>
        <a:stretch>
          <a:fillRect/>
        </a:stretch>
      </xdr:blipFill>
      <xdr:spPr>
        <a:xfrm>
          <a:off x="47624" y="47626"/>
          <a:ext cx="9648826" cy="1143000"/>
        </a:xfrm>
        <a:prstGeom prst="rect">
          <a:avLst/>
        </a:prstGeom>
      </xdr:spPr>
    </xdr:pic>
    <xdr:clientData/>
  </xdr:twoCellAnchor>
  <xdr:twoCellAnchor editAs="oneCell">
    <xdr:from>
      <xdr:col>3</xdr:col>
      <xdr:colOff>38100</xdr:colOff>
      <xdr:row>33</xdr:row>
      <xdr:rowOff>19049</xdr:rowOff>
    </xdr:from>
    <xdr:to>
      <xdr:col>12</xdr:col>
      <xdr:colOff>400050</xdr:colOff>
      <xdr:row>39</xdr:row>
      <xdr:rowOff>114299</xdr:rowOff>
    </xdr:to>
    <xdr:pic>
      <xdr:nvPicPr>
        <xdr:cNvPr id="29702"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104900" y="6457949"/>
          <a:ext cx="5934075" cy="1647825"/>
        </a:xfrm>
        <a:prstGeom prst="rect">
          <a:avLst/>
        </a:prstGeom>
        <a:noFill/>
      </xdr:spPr>
    </xdr:pic>
    <xdr:clientData/>
  </xdr:twoCellAnchor>
  <xdr:twoCellAnchor editAs="oneCell">
    <xdr:from>
      <xdr:col>1</xdr:col>
      <xdr:colOff>38100</xdr:colOff>
      <xdr:row>9</xdr:row>
      <xdr:rowOff>19050</xdr:rowOff>
    </xdr:from>
    <xdr:to>
      <xdr:col>11</xdr:col>
      <xdr:colOff>231775</xdr:colOff>
      <xdr:row>23</xdr:row>
      <xdr:rowOff>38099</xdr:rowOff>
    </xdr:to>
    <xdr:pic>
      <xdr:nvPicPr>
        <xdr:cNvPr id="29705"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85725" y="1885950"/>
          <a:ext cx="6181725" cy="2686049"/>
        </a:xfrm>
        <a:prstGeom prst="rect">
          <a:avLst/>
        </a:prstGeom>
        <a:noFill/>
      </xdr:spPr>
    </xdr:pic>
    <xdr:clientData/>
  </xdr:twoCellAnchor>
  <xdr:twoCellAnchor editAs="oneCell">
    <xdr:from>
      <xdr:col>13</xdr:col>
      <xdr:colOff>55478</xdr:colOff>
      <xdr:row>71</xdr:row>
      <xdr:rowOff>76201</xdr:rowOff>
    </xdr:from>
    <xdr:to>
      <xdr:col>16</xdr:col>
      <xdr:colOff>552450</xdr:colOff>
      <xdr:row>76</xdr:row>
      <xdr:rowOff>133351</xdr:rowOff>
    </xdr:to>
    <xdr:pic>
      <xdr:nvPicPr>
        <xdr:cNvPr id="29707" name="Picture 11" descr="http://smolventfasad.ru/photos/resized/keramogranit_(1)_700_502.jpg"/>
        <xdr:cNvPicPr>
          <a:picLocks noChangeAspect="1" noChangeArrowheads="1"/>
        </xdr:cNvPicPr>
      </xdr:nvPicPr>
      <xdr:blipFill>
        <a:blip xmlns:r="http://schemas.openxmlformats.org/officeDocument/2006/relationships" r:embed="rId4" cstate="print"/>
        <a:srcRect/>
        <a:stretch>
          <a:fillRect/>
        </a:stretch>
      </xdr:blipFill>
      <xdr:spPr bwMode="auto">
        <a:xfrm>
          <a:off x="7332578" y="14249401"/>
          <a:ext cx="2325772" cy="2057400"/>
        </a:xfrm>
        <a:prstGeom prst="rect">
          <a:avLst/>
        </a:prstGeom>
        <a:noFill/>
      </xdr:spPr>
    </xdr:pic>
    <xdr:clientData/>
  </xdr:twoCellAnchor>
  <xdr:twoCellAnchor editAs="oneCell">
    <xdr:from>
      <xdr:col>10</xdr:col>
      <xdr:colOff>361950</xdr:colOff>
      <xdr:row>110</xdr:row>
      <xdr:rowOff>19050</xdr:rowOff>
    </xdr:from>
    <xdr:to>
      <xdr:col>13</xdr:col>
      <xdr:colOff>485775</xdr:colOff>
      <xdr:row>117</xdr:row>
      <xdr:rowOff>171450</xdr:rowOff>
    </xdr:to>
    <xdr:pic>
      <xdr:nvPicPr>
        <xdr:cNvPr id="3" name="Picture 1" descr="http://greensector.ru/wp-content/uploads/2015/11/osb_4.jpg"/>
        <xdr:cNvPicPr>
          <a:picLocks noChangeAspect="1" noChangeArrowheads="1"/>
        </xdr:cNvPicPr>
      </xdr:nvPicPr>
      <xdr:blipFill>
        <a:blip xmlns:r="http://schemas.openxmlformats.org/officeDocument/2006/relationships" r:embed="rId5" cstate="print"/>
        <a:srcRect/>
        <a:stretch>
          <a:fillRect/>
        </a:stretch>
      </xdr:blipFill>
      <xdr:spPr bwMode="auto">
        <a:xfrm>
          <a:off x="5781675" y="22669500"/>
          <a:ext cx="1981200" cy="1485900"/>
        </a:xfrm>
        <a:prstGeom prst="rect">
          <a:avLst/>
        </a:prstGeom>
        <a:noFill/>
      </xdr:spPr>
    </xdr:pic>
    <xdr:clientData/>
  </xdr:twoCellAnchor>
  <xdr:twoCellAnchor editAs="oneCell">
    <xdr:from>
      <xdr:col>13</xdr:col>
      <xdr:colOff>504826</xdr:colOff>
      <xdr:row>110</xdr:row>
      <xdr:rowOff>12746</xdr:rowOff>
    </xdr:from>
    <xdr:to>
      <xdr:col>16</xdr:col>
      <xdr:colOff>485776</xdr:colOff>
      <xdr:row>117</xdr:row>
      <xdr:rowOff>169680</xdr:rowOff>
    </xdr:to>
    <xdr:pic>
      <xdr:nvPicPr>
        <xdr:cNvPr id="29698" name="Picture 2" descr="http://greensector.ru/wp-content/uploads/2015/11/osb_2.jpg"/>
        <xdr:cNvPicPr>
          <a:picLocks noChangeAspect="1" noChangeArrowheads="1"/>
        </xdr:cNvPicPr>
      </xdr:nvPicPr>
      <xdr:blipFill>
        <a:blip xmlns:r="http://schemas.openxmlformats.org/officeDocument/2006/relationships" r:embed="rId6" cstate="print"/>
        <a:srcRect/>
        <a:stretch>
          <a:fillRect/>
        </a:stretch>
      </xdr:blipFill>
      <xdr:spPr bwMode="auto">
        <a:xfrm>
          <a:off x="7781926" y="22663196"/>
          <a:ext cx="1809750" cy="1490434"/>
        </a:xfrm>
        <a:prstGeom prst="rect">
          <a:avLst/>
        </a:prstGeom>
        <a:noFill/>
      </xdr:spPr>
    </xdr:pic>
    <xdr:clientData/>
  </xdr:twoCellAnchor>
  <xdr:twoCellAnchor editAs="oneCell">
    <xdr:from>
      <xdr:col>13</xdr:col>
      <xdr:colOff>19051</xdr:colOff>
      <xdr:row>101</xdr:row>
      <xdr:rowOff>47625</xdr:rowOff>
    </xdr:from>
    <xdr:to>
      <xdr:col>16</xdr:col>
      <xdr:colOff>514351</xdr:colOff>
      <xdr:row>110</xdr:row>
      <xdr:rowOff>21056</xdr:rowOff>
    </xdr:to>
    <xdr:pic>
      <xdr:nvPicPr>
        <xdr:cNvPr id="29699" name="Picture 3" descr="http://stroymatzakaz.ru/upload/iblock/fe1/fe1f7b3f1533ec25bfdc9b520c901638.jpg"/>
        <xdr:cNvPicPr>
          <a:picLocks noChangeAspect="1" noChangeArrowheads="1"/>
        </xdr:cNvPicPr>
      </xdr:nvPicPr>
      <xdr:blipFill>
        <a:blip xmlns:r="http://schemas.openxmlformats.org/officeDocument/2006/relationships" r:embed="rId7" cstate="print"/>
        <a:srcRect/>
        <a:stretch>
          <a:fillRect/>
        </a:stretch>
      </xdr:blipFill>
      <xdr:spPr bwMode="auto">
        <a:xfrm>
          <a:off x="7296151" y="20983575"/>
          <a:ext cx="2324100" cy="1687931"/>
        </a:xfrm>
        <a:prstGeom prst="rect">
          <a:avLst/>
        </a:prstGeom>
        <a:noFill/>
      </xdr:spPr>
    </xdr:pic>
    <xdr:clientData/>
  </xdr:twoCellAnchor>
  <xdr:twoCellAnchor editAs="oneCell">
    <xdr:from>
      <xdr:col>11</xdr:col>
      <xdr:colOff>390526</xdr:colOff>
      <xdr:row>9</xdr:row>
      <xdr:rowOff>28575</xdr:rowOff>
    </xdr:from>
    <xdr:to>
      <xdr:col>16</xdr:col>
      <xdr:colOff>542925</xdr:colOff>
      <xdr:row>22</xdr:row>
      <xdr:rowOff>171450</xdr:rowOff>
    </xdr:to>
    <xdr:pic>
      <xdr:nvPicPr>
        <xdr:cNvPr id="12" name="Рисунок 11" descr="титульный фон.png"/>
        <xdr:cNvPicPr>
          <a:picLocks noChangeAspect="1"/>
        </xdr:cNvPicPr>
      </xdr:nvPicPr>
      <xdr:blipFill>
        <a:blip xmlns:r="http://schemas.openxmlformats.org/officeDocument/2006/relationships" r:embed="rId8" cstate="print"/>
        <a:stretch>
          <a:fillRect/>
        </a:stretch>
      </xdr:blipFill>
      <xdr:spPr>
        <a:xfrm>
          <a:off x="6429376" y="1895475"/>
          <a:ext cx="3219449" cy="2619375"/>
        </a:xfrm>
        <a:prstGeom prst="rect">
          <a:avLst/>
        </a:prstGeom>
      </xdr:spPr>
    </xdr:pic>
    <xdr:clientData/>
  </xdr:twoCellAnchor>
  <xdr:twoCellAnchor editAs="oneCell">
    <xdr:from>
      <xdr:col>13</xdr:col>
      <xdr:colOff>76200</xdr:colOff>
      <xdr:row>78</xdr:row>
      <xdr:rowOff>28577</xdr:rowOff>
    </xdr:from>
    <xdr:to>
      <xdr:col>16</xdr:col>
      <xdr:colOff>514350</xdr:colOff>
      <xdr:row>87</xdr:row>
      <xdr:rowOff>134939</xdr:rowOff>
    </xdr:to>
    <xdr:pic>
      <xdr:nvPicPr>
        <xdr:cNvPr id="29701" name="Picture 5" descr="http://kak-uteplit.ru/wp-content/uploads/2015/12/dubelia1.jpg"/>
        <xdr:cNvPicPr>
          <a:picLocks noChangeAspect="1" noChangeArrowheads="1"/>
        </xdr:cNvPicPr>
      </xdr:nvPicPr>
      <xdr:blipFill>
        <a:blip xmlns:r="http://schemas.openxmlformats.org/officeDocument/2006/relationships" r:embed="rId9" cstate="print"/>
        <a:srcRect/>
        <a:stretch>
          <a:fillRect/>
        </a:stretch>
      </xdr:blipFill>
      <xdr:spPr bwMode="auto">
        <a:xfrm>
          <a:off x="7353300" y="16583027"/>
          <a:ext cx="2266950" cy="1820862"/>
        </a:xfrm>
        <a:prstGeom prst="rect">
          <a:avLst/>
        </a:prstGeom>
        <a:noFill/>
      </xdr:spPr>
    </xdr:pic>
    <xdr:clientData/>
  </xdr:twoCellAnchor>
  <xdr:twoCellAnchor editAs="oneCell">
    <xdr:from>
      <xdr:col>13</xdr:col>
      <xdr:colOff>76199</xdr:colOff>
      <xdr:row>89</xdr:row>
      <xdr:rowOff>0</xdr:rowOff>
    </xdr:from>
    <xdr:to>
      <xdr:col>16</xdr:col>
      <xdr:colOff>533400</xdr:colOff>
      <xdr:row>94</xdr:row>
      <xdr:rowOff>63500</xdr:rowOff>
    </xdr:to>
    <xdr:pic>
      <xdr:nvPicPr>
        <xdr:cNvPr id="4" name="Picture 6" descr="https://i1.lbrd.ru/fileentry/get/597/1c/30/fd9e283a633d5722e005ce776ee3.png"/>
        <xdr:cNvPicPr>
          <a:picLocks noChangeAspect="1" noChangeArrowheads="1"/>
        </xdr:cNvPicPr>
      </xdr:nvPicPr>
      <xdr:blipFill>
        <a:blip xmlns:r="http://schemas.openxmlformats.org/officeDocument/2006/relationships" r:embed="rId10" cstate="print"/>
        <a:srcRect/>
        <a:stretch>
          <a:fillRect/>
        </a:stretch>
      </xdr:blipFill>
      <xdr:spPr bwMode="auto">
        <a:xfrm>
          <a:off x="7353299" y="18649950"/>
          <a:ext cx="2286001" cy="1016000"/>
        </a:xfrm>
        <a:prstGeom prst="rect">
          <a:avLst/>
        </a:prstGeom>
        <a:noFill/>
      </xdr:spPr>
    </xdr:pic>
    <xdr:clientData/>
  </xdr:twoCellAnchor>
  <xdr:twoCellAnchor editAs="oneCell">
    <xdr:from>
      <xdr:col>13</xdr:col>
      <xdr:colOff>68263</xdr:colOff>
      <xdr:row>94</xdr:row>
      <xdr:rowOff>111125</xdr:rowOff>
    </xdr:from>
    <xdr:to>
      <xdr:col>16</xdr:col>
      <xdr:colOff>523875</xdr:colOff>
      <xdr:row>99</xdr:row>
      <xdr:rowOff>166688</xdr:rowOff>
    </xdr:to>
    <xdr:pic>
      <xdr:nvPicPr>
        <xdr:cNvPr id="5" name="Picture 7" descr="http://kaminfostroy.org/images/uteplitel-porileks1.jpg"/>
        <xdr:cNvPicPr>
          <a:picLocks noChangeAspect="1" noChangeArrowheads="1"/>
        </xdr:cNvPicPr>
      </xdr:nvPicPr>
      <xdr:blipFill>
        <a:blip xmlns:r="http://schemas.openxmlformats.org/officeDocument/2006/relationships" r:embed="rId11" cstate="print"/>
        <a:srcRect/>
        <a:stretch>
          <a:fillRect/>
        </a:stretch>
      </xdr:blipFill>
      <xdr:spPr bwMode="auto">
        <a:xfrm>
          <a:off x="7345363" y="19713575"/>
          <a:ext cx="2284412" cy="1008063"/>
        </a:xfrm>
        <a:prstGeom prst="rect">
          <a:avLst/>
        </a:prstGeom>
        <a:noFill/>
      </xdr:spPr>
    </xdr:pic>
    <xdr:clientData/>
  </xdr:twoCellAnchor>
  <xdr:twoCellAnchor editAs="oneCell">
    <xdr:from>
      <xdr:col>13</xdr:col>
      <xdr:colOff>76200</xdr:colOff>
      <xdr:row>139</xdr:row>
      <xdr:rowOff>47625</xdr:rowOff>
    </xdr:from>
    <xdr:to>
      <xdr:col>16</xdr:col>
      <xdr:colOff>485775</xdr:colOff>
      <xdr:row>144</xdr:row>
      <xdr:rowOff>142875</xdr:rowOff>
    </xdr:to>
    <xdr:pic>
      <xdr:nvPicPr>
        <xdr:cNvPr id="6" name="Picture 1" descr="https://images.by.prom.st/8094552_w640_h640_ekstrpenopolistirol2.jpg"/>
        <xdr:cNvPicPr>
          <a:picLocks noChangeAspect="1" noChangeArrowheads="1"/>
        </xdr:cNvPicPr>
      </xdr:nvPicPr>
      <xdr:blipFill>
        <a:blip xmlns:r="http://schemas.openxmlformats.org/officeDocument/2006/relationships" r:embed="rId12" cstate="print"/>
        <a:srcRect/>
        <a:stretch>
          <a:fillRect/>
        </a:stretch>
      </xdr:blipFill>
      <xdr:spPr bwMode="auto">
        <a:xfrm>
          <a:off x="7353300" y="28222575"/>
          <a:ext cx="2238375" cy="1047750"/>
        </a:xfrm>
        <a:prstGeom prst="rect">
          <a:avLst/>
        </a:prstGeom>
        <a:noFill/>
      </xdr:spPr>
    </xdr:pic>
    <xdr:clientData/>
  </xdr:twoCellAnchor>
  <xdr:twoCellAnchor editAs="oneCell">
    <xdr:from>
      <xdr:col>13</xdr:col>
      <xdr:colOff>38101</xdr:colOff>
      <xdr:row>119</xdr:row>
      <xdr:rowOff>38100</xdr:rowOff>
    </xdr:from>
    <xdr:to>
      <xdr:col>16</xdr:col>
      <xdr:colOff>533401</xdr:colOff>
      <xdr:row>131</xdr:row>
      <xdr:rowOff>174626</xdr:rowOff>
    </xdr:to>
    <xdr:pic>
      <xdr:nvPicPr>
        <xdr:cNvPr id="7" name="Picture 2" descr="http://mirsnab29.ru/d/1285887/d/ruberoid_tsena.jpg"/>
        <xdr:cNvPicPr>
          <a:picLocks noChangeAspect="1" noChangeArrowheads="1"/>
        </xdr:cNvPicPr>
      </xdr:nvPicPr>
      <xdr:blipFill>
        <a:blip xmlns:r="http://schemas.openxmlformats.org/officeDocument/2006/relationships" r:embed="rId13" cstate="print"/>
        <a:srcRect/>
        <a:stretch>
          <a:fillRect/>
        </a:stretch>
      </xdr:blipFill>
      <xdr:spPr bwMode="auto">
        <a:xfrm>
          <a:off x="7315201" y="24403050"/>
          <a:ext cx="2324100" cy="2422526"/>
        </a:xfrm>
        <a:prstGeom prst="rect">
          <a:avLst/>
        </a:prstGeom>
        <a:noFill/>
      </xdr:spPr>
    </xdr:pic>
    <xdr:clientData/>
  </xdr:twoCellAnchor>
  <xdr:twoCellAnchor editAs="oneCell">
    <xdr:from>
      <xdr:col>13</xdr:col>
      <xdr:colOff>47625</xdr:colOff>
      <xdr:row>133</xdr:row>
      <xdr:rowOff>38099</xdr:rowOff>
    </xdr:from>
    <xdr:to>
      <xdr:col>16</xdr:col>
      <xdr:colOff>476250</xdr:colOff>
      <xdr:row>139</xdr:row>
      <xdr:rowOff>13493</xdr:rowOff>
    </xdr:to>
    <xdr:pic>
      <xdr:nvPicPr>
        <xdr:cNvPr id="8" name="Picture 3" descr="http://stofasadov.ru/wp-content/uploads/2015/11/tovar-739-1.jpg"/>
        <xdr:cNvPicPr>
          <a:picLocks noChangeAspect="1" noChangeArrowheads="1"/>
        </xdr:cNvPicPr>
      </xdr:nvPicPr>
      <xdr:blipFill>
        <a:blip xmlns:r="http://schemas.openxmlformats.org/officeDocument/2006/relationships" r:embed="rId14" cstate="print"/>
        <a:srcRect/>
        <a:stretch>
          <a:fillRect/>
        </a:stretch>
      </xdr:blipFill>
      <xdr:spPr bwMode="auto">
        <a:xfrm>
          <a:off x="7324725" y="27070049"/>
          <a:ext cx="2257425" cy="1118394"/>
        </a:xfrm>
        <a:prstGeom prst="rect">
          <a:avLst/>
        </a:prstGeom>
        <a:noFill/>
      </xdr:spPr>
    </xdr:pic>
    <xdr:clientData/>
  </xdr:twoCellAnchor>
  <xdr:twoCellAnchor>
    <xdr:from>
      <xdr:col>12</xdr:col>
      <xdr:colOff>484186</xdr:colOff>
      <xdr:row>24</xdr:row>
      <xdr:rowOff>7937</xdr:rowOff>
    </xdr:from>
    <xdr:to>
      <xdr:col>12</xdr:col>
      <xdr:colOff>595311</xdr:colOff>
      <xdr:row>24</xdr:row>
      <xdr:rowOff>141285</xdr:rowOff>
    </xdr:to>
    <xdr:sp macro="" textlink="">
      <xdr:nvSpPr>
        <xdr:cNvPr id="18" name="Стрелка вниз 17"/>
        <xdr:cNvSpPr/>
      </xdr:nvSpPr>
      <xdr:spPr>
        <a:xfrm>
          <a:off x="7127874" y="4730750"/>
          <a:ext cx="111125" cy="13334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ru-RU" sz="1100"/>
        </a:p>
      </xdr:txBody>
    </xdr:sp>
    <xdr:clientData/>
  </xdr:twoCellAnchor>
  <xdr:twoCellAnchor editAs="oneCell">
    <xdr:from>
      <xdr:col>13</xdr:col>
      <xdr:colOff>31751</xdr:colOff>
      <xdr:row>146</xdr:row>
      <xdr:rowOff>39689</xdr:rowOff>
    </xdr:from>
    <xdr:to>
      <xdr:col>15</xdr:col>
      <xdr:colOff>39687</xdr:colOff>
      <xdr:row>156</xdr:row>
      <xdr:rowOff>38212</xdr:rowOff>
    </xdr:to>
    <xdr:pic>
      <xdr:nvPicPr>
        <xdr:cNvPr id="29700" name="Picture 4" descr="http://mosstroytrans-trade.ru/wp-content/uploads/2017/06/Knauf-LM21-20.jpg"/>
        <xdr:cNvPicPr>
          <a:picLocks noChangeAspect="1" noChangeArrowheads="1"/>
        </xdr:cNvPicPr>
      </xdr:nvPicPr>
      <xdr:blipFill>
        <a:blip xmlns:r="http://schemas.openxmlformats.org/officeDocument/2006/relationships" r:embed="rId15" cstate="print"/>
        <a:srcRect/>
        <a:stretch>
          <a:fillRect/>
        </a:stretch>
      </xdr:blipFill>
      <xdr:spPr bwMode="auto">
        <a:xfrm>
          <a:off x="7294564" y="24344314"/>
          <a:ext cx="1230311" cy="1903523"/>
        </a:xfrm>
        <a:prstGeom prst="rect">
          <a:avLst/>
        </a:prstGeom>
        <a:noFill/>
      </xdr:spPr>
    </xdr:pic>
    <xdr:clientData/>
  </xdr:twoCellAnchor>
  <xdr:twoCellAnchor editAs="oneCell">
    <xdr:from>
      <xdr:col>15</xdr:col>
      <xdr:colOff>95250</xdr:colOff>
      <xdr:row>146</xdr:row>
      <xdr:rowOff>119062</xdr:rowOff>
    </xdr:from>
    <xdr:to>
      <xdr:col>16</xdr:col>
      <xdr:colOff>504825</xdr:colOff>
      <xdr:row>155</xdr:row>
      <xdr:rowOff>60703</xdr:rowOff>
    </xdr:to>
    <xdr:pic>
      <xdr:nvPicPr>
        <xdr:cNvPr id="9" name="Picture 5" descr="http://1kirpich.com/upload/iblock/1d7/1d77918ad564c1ae57d0c821eb71a121.jpg"/>
        <xdr:cNvPicPr>
          <a:picLocks noChangeAspect="1" noChangeArrowheads="1"/>
        </xdr:cNvPicPr>
      </xdr:nvPicPr>
      <xdr:blipFill>
        <a:blip xmlns:r="http://schemas.openxmlformats.org/officeDocument/2006/relationships" r:embed="rId16" cstate="print"/>
        <a:srcRect/>
        <a:stretch>
          <a:fillRect/>
        </a:stretch>
      </xdr:blipFill>
      <xdr:spPr bwMode="auto">
        <a:xfrm>
          <a:off x="8591550" y="29627512"/>
          <a:ext cx="1019175" cy="1656141"/>
        </a:xfrm>
        <a:prstGeom prst="rect">
          <a:avLst/>
        </a:prstGeom>
        <a:noFill/>
      </xdr:spPr>
    </xdr:pic>
    <xdr:clientData/>
  </xdr:twoCellAnchor>
  <xdr:twoCellAnchor editAs="oneCell">
    <xdr:from>
      <xdr:col>13</xdr:col>
      <xdr:colOff>23813</xdr:colOff>
      <xdr:row>163</xdr:row>
      <xdr:rowOff>166691</xdr:rowOff>
    </xdr:from>
    <xdr:to>
      <xdr:col>16</xdr:col>
      <xdr:colOff>514351</xdr:colOff>
      <xdr:row>172</xdr:row>
      <xdr:rowOff>31751</xdr:rowOff>
    </xdr:to>
    <xdr:pic>
      <xdr:nvPicPr>
        <xdr:cNvPr id="11" name="Picture 7" descr="http://imperialstroy.moscow/published/publicdata/IMPSTROYMSC/attachments/SC/products_pictures/1798_581_enl.jpg"/>
        <xdr:cNvPicPr>
          <a:picLocks noChangeAspect="1" noChangeArrowheads="1"/>
        </xdr:cNvPicPr>
      </xdr:nvPicPr>
      <xdr:blipFill>
        <a:blip xmlns:r="http://schemas.openxmlformats.org/officeDocument/2006/relationships" r:embed="rId17" cstate="print"/>
        <a:srcRect/>
        <a:stretch>
          <a:fillRect/>
        </a:stretch>
      </xdr:blipFill>
      <xdr:spPr bwMode="auto">
        <a:xfrm>
          <a:off x="7300913" y="32913641"/>
          <a:ext cx="2319338" cy="1579560"/>
        </a:xfrm>
        <a:prstGeom prst="rect">
          <a:avLst/>
        </a:prstGeom>
        <a:noFill/>
      </xdr:spPr>
    </xdr:pic>
    <xdr:clientData/>
  </xdr:twoCellAnchor>
  <xdr:twoCellAnchor editAs="oneCell">
    <xdr:from>
      <xdr:col>13</xdr:col>
      <xdr:colOff>39688</xdr:colOff>
      <xdr:row>172</xdr:row>
      <xdr:rowOff>7937</xdr:rowOff>
    </xdr:from>
    <xdr:to>
      <xdr:col>16</xdr:col>
      <xdr:colOff>504825</xdr:colOff>
      <xdr:row>179</xdr:row>
      <xdr:rowOff>127000</xdr:rowOff>
    </xdr:to>
    <xdr:pic>
      <xdr:nvPicPr>
        <xdr:cNvPr id="29704" name="Picture 8" descr="https://img.ubu.ru/gal_stroitelnyy_material_so_sklada_v_dzerzhinsk_optom_i_v_roznitsu_5683855.jpg"/>
        <xdr:cNvPicPr>
          <a:picLocks noChangeAspect="1" noChangeArrowheads="1"/>
        </xdr:cNvPicPr>
      </xdr:nvPicPr>
      <xdr:blipFill>
        <a:blip xmlns:r="http://schemas.openxmlformats.org/officeDocument/2006/relationships" r:embed="rId18" cstate="print"/>
        <a:srcRect/>
        <a:stretch>
          <a:fillRect/>
        </a:stretch>
      </xdr:blipFill>
      <xdr:spPr bwMode="auto">
        <a:xfrm>
          <a:off x="7316788" y="34469387"/>
          <a:ext cx="2293937" cy="1452563"/>
        </a:xfrm>
        <a:prstGeom prst="rect">
          <a:avLst/>
        </a:prstGeom>
        <a:noFill/>
      </xdr:spPr>
    </xdr:pic>
    <xdr:clientData/>
  </xdr:twoCellAnchor>
  <xdr:twoCellAnchor editAs="oneCell">
    <xdr:from>
      <xdr:col>13</xdr:col>
      <xdr:colOff>31751</xdr:colOff>
      <xdr:row>155</xdr:row>
      <xdr:rowOff>127001</xdr:rowOff>
    </xdr:from>
    <xdr:to>
      <xdr:col>14</xdr:col>
      <xdr:colOff>409899</xdr:colOff>
      <xdr:row>164</xdr:row>
      <xdr:rowOff>119063</xdr:rowOff>
    </xdr:to>
    <xdr:pic>
      <xdr:nvPicPr>
        <xdr:cNvPr id="13" name="Picture 9" descr="https://static.price.ru/images/models/1000x1000/stroitelnaya-smes/bergauf-shpaklevka-glatte-zement-bazovaya-na-cementnoy-osnove-dlya-cokolya-i-fasada-25-kg-73081155/42ab20236498d43ccc282f399e089350.PNG"/>
        <xdr:cNvPicPr>
          <a:picLocks noChangeAspect="1" noChangeArrowheads="1"/>
        </xdr:cNvPicPr>
      </xdr:nvPicPr>
      <xdr:blipFill>
        <a:blip xmlns:r="http://schemas.openxmlformats.org/officeDocument/2006/relationships" r:embed="rId19" cstate="print"/>
        <a:srcRect/>
        <a:stretch>
          <a:fillRect/>
        </a:stretch>
      </xdr:blipFill>
      <xdr:spPr bwMode="auto">
        <a:xfrm>
          <a:off x="7294564" y="26162001"/>
          <a:ext cx="989335" cy="1706562"/>
        </a:xfrm>
        <a:prstGeom prst="rect">
          <a:avLst/>
        </a:prstGeom>
        <a:noFill/>
      </xdr:spPr>
    </xdr:pic>
    <xdr:clientData/>
  </xdr:twoCellAnchor>
  <xdr:twoCellAnchor editAs="oneCell">
    <xdr:from>
      <xdr:col>14</xdr:col>
      <xdr:colOff>460377</xdr:colOff>
      <xdr:row>155</xdr:row>
      <xdr:rowOff>39687</xdr:rowOff>
    </xdr:from>
    <xdr:to>
      <xdr:col>16</xdr:col>
      <xdr:colOff>508001</xdr:colOff>
      <xdr:row>164</xdr:row>
      <xdr:rowOff>95426</xdr:rowOff>
    </xdr:to>
    <xdr:pic>
      <xdr:nvPicPr>
        <xdr:cNvPr id="29706" name="Picture 10" descr="https://snabway.ru/upload/iblock/102/102df626d23081330d1b94edafc15ecf.png"/>
        <xdr:cNvPicPr>
          <a:picLocks noChangeAspect="1" noChangeArrowheads="1"/>
        </xdr:cNvPicPr>
      </xdr:nvPicPr>
      <xdr:blipFill>
        <a:blip xmlns:r="http://schemas.openxmlformats.org/officeDocument/2006/relationships" r:embed="rId20" cstate="print"/>
        <a:srcRect/>
        <a:stretch>
          <a:fillRect/>
        </a:stretch>
      </xdr:blipFill>
      <xdr:spPr bwMode="auto">
        <a:xfrm>
          <a:off x="8334377" y="26074687"/>
          <a:ext cx="1269999" cy="1770239"/>
        </a:xfrm>
        <a:prstGeom prst="rect">
          <a:avLst/>
        </a:prstGeom>
        <a:noFill/>
      </xdr:spPr>
    </xdr:pic>
    <xdr:clientData/>
  </xdr:twoCellAnchor>
  <xdr:twoCellAnchor editAs="oneCell">
    <xdr:from>
      <xdr:col>13</xdr:col>
      <xdr:colOff>31751</xdr:colOff>
      <xdr:row>180</xdr:row>
      <xdr:rowOff>23812</xdr:rowOff>
    </xdr:from>
    <xdr:to>
      <xdr:col>16</xdr:col>
      <xdr:colOff>514351</xdr:colOff>
      <xdr:row>194</xdr:row>
      <xdr:rowOff>166689</xdr:rowOff>
    </xdr:to>
    <xdr:pic>
      <xdr:nvPicPr>
        <xdr:cNvPr id="30721" name="Picture 1" descr="http://tsnab.miltor.ru/img_objv/max/824/52302824.jpg"/>
        <xdr:cNvPicPr>
          <a:picLocks noChangeAspect="1" noChangeArrowheads="1"/>
        </xdr:cNvPicPr>
      </xdr:nvPicPr>
      <xdr:blipFill>
        <a:blip xmlns:r="http://schemas.openxmlformats.org/officeDocument/2006/relationships" r:embed="rId21" cstate="print"/>
        <a:srcRect/>
        <a:stretch>
          <a:fillRect/>
        </a:stretch>
      </xdr:blipFill>
      <xdr:spPr bwMode="auto">
        <a:xfrm>
          <a:off x="7308851" y="36009262"/>
          <a:ext cx="2311400" cy="2819402"/>
        </a:xfrm>
        <a:prstGeom prst="rect">
          <a:avLst/>
        </a:prstGeom>
        <a:noFill/>
      </xdr:spPr>
    </xdr:pic>
    <xdr:clientData/>
  </xdr:twoCellAnchor>
  <xdr:twoCellAnchor editAs="oneCell">
    <xdr:from>
      <xdr:col>13</xdr:col>
      <xdr:colOff>28576</xdr:colOff>
      <xdr:row>195</xdr:row>
      <xdr:rowOff>180976</xdr:rowOff>
    </xdr:from>
    <xdr:to>
      <xdr:col>16</xdr:col>
      <xdr:colOff>542925</xdr:colOff>
      <xdr:row>207</xdr:row>
      <xdr:rowOff>95251</xdr:rowOff>
    </xdr:to>
    <xdr:pic>
      <xdr:nvPicPr>
        <xdr:cNvPr id="31745" name="Picture 1" descr="http://www.erastroi.su/images/mastika.jpg"/>
        <xdr:cNvPicPr>
          <a:picLocks noChangeAspect="1" noChangeArrowheads="1"/>
        </xdr:cNvPicPr>
      </xdr:nvPicPr>
      <xdr:blipFill>
        <a:blip xmlns:r="http://schemas.openxmlformats.org/officeDocument/2006/relationships" r:embed="rId22" cstate="print"/>
        <a:srcRect/>
        <a:stretch>
          <a:fillRect/>
        </a:stretch>
      </xdr:blipFill>
      <xdr:spPr bwMode="auto">
        <a:xfrm>
          <a:off x="7305676" y="39033451"/>
          <a:ext cx="2343149" cy="2209800"/>
        </a:xfrm>
        <a:prstGeom prst="rect">
          <a:avLst/>
        </a:prstGeom>
        <a:noFill/>
      </xdr:spPr>
    </xdr:pic>
    <xdr:clientData/>
  </xdr:twoCellAnchor>
  <xdr:twoCellAnchor editAs="oneCell">
    <xdr:from>
      <xdr:col>13</xdr:col>
      <xdr:colOff>47627</xdr:colOff>
      <xdr:row>39</xdr:row>
      <xdr:rowOff>180975</xdr:rowOff>
    </xdr:from>
    <xdr:to>
      <xdr:col>16</xdr:col>
      <xdr:colOff>533401</xdr:colOff>
      <xdr:row>49</xdr:row>
      <xdr:rowOff>19050</xdr:rowOff>
    </xdr:to>
    <xdr:pic>
      <xdr:nvPicPr>
        <xdr:cNvPr id="45057" name="Picture 1" descr="http://mirteplostroy.ru/files/gallery/178/big/222538-750x0_1475679517.png"/>
        <xdr:cNvPicPr>
          <a:picLocks noChangeAspect="1" noChangeArrowheads="1"/>
        </xdr:cNvPicPr>
      </xdr:nvPicPr>
      <xdr:blipFill>
        <a:blip xmlns:r="http://schemas.openxmlformats.org/officeDocument/2006/relationships" r:embed="rId23" cstate="print"/>
        <a:srcRect/>
        <a:stretch>
          <a:fillRect/>
        </a:stretch>
      </xdr:blipFill>
      <xdr:spPr bwMode="auto">
        <a:xfrm>
          <a:off x="7324727" y="8172450"/>
          <a:ext cx="2314574" cy="1781175"/>
        </a:xfrm>
        <a:prstGeom prst="rect">
          <a:avLst/>
        </a:prstGeom>
        <a:noFill/>
      </xdr:spPr>
    </xdr:pic>
    <xdr:clientData/>
  </xdr:twoCellAnchor>
  <xdr:twoCellAnchor editAs="oneCell">
    <xdr:from>
      <xdr:col>13</xdr:col>
      <xdr:colOff>325436</xdr:colOff>
      <xdr:row>33</xdr:row>
      <xdr:rowOff>23812</xdr:rowOff>
    </xdr:from>
    <xdr:to>
      <xdr:col>16</xdr:col>
      <xdr:colOff>485775</xdr:colOff>
      <xdr:row>39</xdr:row>
      <xdr:rowOff>165054</xdr:rowOff>
    </xdr:to>
    <xdr:pic>
      <xdr:nvPicPr>
        <xdr:cNvPr id="45058" name="Picture 2" descr="https://dominar.ru/images/detailed/16/ul_l_5_31.jpg"/>
        <xdr:cNvPicPr>
          <a:picLocks noChangeAspect="1" noChangeArrowheads="1"/>
        </xdr:cNvPicPr>
      </xdr:nvPicPr>
      <xdr:blipFill>
        <a:blip xmlns:r="http://schemas.openxmlformats.org/officeDocument/2006/relationships" r:embed="rId24" cstate="print"/>
        <a:srcRect/>
        <a:stretch>
          <a:fillRect/>
        </a:stretch>
      </xdr:blipFill>
      <xdr:spPr bwMode="auto">
        <a:xfrm>
          <a:off x="7602536" y="6462712"/>
          <a:ext cx="1989139" cy="1693817"/>
        </a:xfrm>
        <a:prstGeom prst="rect">
          <a:avLst/>
        </a:prstGeom>
        <a:noFill/>
      </xdr:spPr>
    </xdr:pic>
    <xdr:clientData/>
  </xdr:twoCellAnchor>
  <xdr:twoCellAnchor editAs="oneCell">
    <xdr:from>
      <xdr:col>13</xdr:col>
      <xdr:colOff>103188</xdr:colOff>
      <xdr:row>24</xdr:row>
      <xdr:rowOff>182563</xdr:rowOff>
    </xdr:from>
    <xdr:to>
      <xdr:col>16</xdr:col>
      <xdr:colOff>514350</xdr:colOff>
      <xdr:row>34</xdr:row>
      <xdr:rowOff>5741</xdr:rowOff>
    </xdr:to>
    <xdr:pic>
      <xdr:nvPicPr>
        <xdr:cNvPr id="45059" name="Picture 3" descr="ХОТРОК Лайт ЭКО"/>
        <xdr:cNvPicPr>
          <a:picLocks noChangeAspect="1" noChangeArrowheads="1"/>
        </xdr:cNvPicPr>
      </xdr:nvPicPr>
      <xdr:blipFill>
        <a:blip xmlns:r="http://schemas.openxmlformats.org/officeDocument/2006/relationships" r:embed="rId25" cstate="print"/>
        <a:srcRect/>
        <a:stretch>
          <a:fillRect/>
        </a:stretch>
      </xdr:blipFill>
      <xdr:spPr bwMode="auto">
        <a:xfrm>
          <a:off x="7380288" y="4906963"/>
          <a:ext cx="2239962" cy="1728178"/>
        </a:xfrm>
        <a:prstGeom prst="rect">
          <a:avLst/>
        </a:prstGeom>
        <a:noFill/>
      </xdr:spPr>
    </xdr:pic>
    <xdr:clientData/>
  </xdr:twoCellAnchor>
  <xdr:twoCellAnchor editAs="oneCell">
    <xdr:from>
      <xdr:col>13</xdr:col>
      <xdr:colOff>87313</xdr:colOff>
      <xdr:row>49</xdr:row>
      <xdr:rowOff>7940</xdr:rowOff>
    </xdr:from>
    <xdr:to>
      <xdr:col>16</xdr:col>
      <xdr:colOff>523875</xdr:colOff>
      <xdr:row>56</xdr:row>
      <xdr:rowOff>166688</xdr:rowOff>
    </xdr:to>
    <xdr:pic>
      <xdr:nvPicPr>
        <xdr:cNvPr id="45060" name="Picture 4" descr="https://td-karo.ru/upload/iblock/616/6161446e9cd39894c7891d48674d8711.jpg"/>
        <xdr:cNvPicPr>
          <a:picLocks noChangeAspect="1" noChangeArrowheads="1"/>
        </xdr:cNvPicPr>
      </xdr:nvPicPr>
      <xdr:blipFill>
        <a:blip xmlns:r="http://schemas.openxmlformats.org/officeDocument/2006/relationships" r:embed="rId26" cstate="print"/>
        <a:srcRect/>
        <a:stretch>
          <a:fillRect/>
        </a:stretch>
      </xdr:blipFill>
      <xdr:spPr bwMode="auto">
        <a:xfrm>
          <a:off x="7366001" y="9929815"/>
          <a:ext cx="2270124" cy="1508123"/>
        </a:xfrm>
        <a:prstGeom prst="rect">
          <a:avLst/>
        </a:prstGeom>
        <a:noFill/>
      </xdr:spPr>
    </xdr:pic>
    <xdr:clientData/>
  </xdr:twoCellAnchor>
  <xdr:twoCellAnchor editAs="oneCell">
    <xdr:from>
      <xdr:col>13</xdr:col>
      <xdr:colOff>7937</xdr:colOff>
      <xdr:row>58</xdr:row>
      <xdr:rowOff>39688</xdr:rowOff>
    </xdr:from>
    <xdr:to>
      <xdr:col>16</xdr:col>
      <xdr:colOff>533400</xdr:colOff>
      <xdr:row>68</xdr:row>
      <xdr:rowOff>119062</xdr:rowOff>
    </xdr:to>
    <xdr:pic>
      <xdr:nvPicPr>
        <xdr:cNvPr id="45061" name="Picture 5" descr="https://ivik.ru/files/images/items/6/6740zd266cf72.jpg"/>
        <xdr:cNvPicPr>
          <a:picLocks noChangeAspect="1" noChangeArrowheads="1"/>
        </xdr:cNvPicPr>
      </xdr:nvPicPr>
      <xdr:blipFill>
        <a:blip xmlns:r="http://schemas.openxmlformats.org/officeDocument/2006/relationships" r:embed="rId27" cstate="print"/>
        <a:srcRect/>
        <a:stretch>
          <a:fillRect/>
        </a:stretch>
      </xdr:blipFill>
      <xdr:spPr bwMode="auto">
        <a:xfrm>
          <a:off x="7285037" y="11707813"/>
          <a:ext cx="2354263" cy="201294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38100</xdr:colOff>
      <xdr:row>6</xdr:row>
      <xdr:rowOff>419100</xdr:rowOff>
    </xdr:to>
    <xdr:pic>
      <xdr:nvPicPr>
        <xdr:cNvPr id="54275" name="Picture 3" descr="Без имени"/>
        <xdr:cNvPicPr>
          <a:picLocks noChangeAspect="1" noChangeArrowheads="1"/>
        </xdr:cNvPicPr>
      </xdr:nvPicPr>
      <xdr:blipFill>
        <a:blip xmlns:r="http://schemas.openxmlformats.org/officeDocument/2006/relationships" r:embed="rId1"/>
        <a:srcRect/>
        <a:stretch>
          <a:fillRect/>
        </a:stretch>
      </xdr:blipFill>
      <xdr:spPr bwMode="auto">
        <a:xfrm>
          <a:off x="0" y="1590675"/>
          <a:ext cx="1257300" cy="1133475"/>
        </a:xfrm>
        <a:prstGeom prst="rect">
          <a:avLst/>
        </a:prstGeom>
        <a:noFill/>
      </xdr:spPr>
    </xdr:pic>
    <xdr:clientData/>
  </xdr:twoCellAnchor>
  <xdr:twoCellAnchor>
    <xdr:from>
      <xdr:col>0</xdr:col>
      <xdr:colOff>0</xdr:colOff>
      <xdr:row>17</xdr:row>
      <xdr:rowOff>0</xdr:rowOff>
    </xdr:from>
    <xdr:to>
      <xdr:col>1</xdr:col>
      <xdr:colOff>219075</xdr:colOff>
      <xdr:row>19</xdr:row>
      <xdr:rowOff>847725</xdr:rowOff>
    </xdr:to>
    <xdr:pic>
      <xdr:nvPicPr>
        <xdr:cNvPr id="54274" name="Picture 2" descr="Мешок 2"/>
        <xdr:cNvPicPr>
          <a:picLocks noChangeAspect="1" noChangeArrowheads="1"/>
        </xdr:cNvPicPr>
      </xdr:nvPicPr>
      <xdr:blipFill>
        <a:blip xmlns:r="http://schemas.openxmlformats.org/officeDocument/2006/relationships" r:embed="rId2" cstate="print"/>
        <a:srcRect/>
        <a:stretch>
          <a:fillRect/>
        </a:stretch>
      </xdr:blipFill>
      <xdr:spPr bwMode="auto">
        <a:xfrm>
          <a:off x="0" y="7029450"/>
          <a:ext cx="828675" cy="1323975"/>
        </a:xfrm>
        <a:prstGeom prst="rect">
          <a:avLst/>
        </a:prstGeom>
        <a:noFill/>
      </xdr:spPr>
    </xdr:pic>
    <xdr:clientData/>
  </xdr:twoCellAnchor>
  <xdr:twoCellAnchor>
    <xdr:from>
      <xdr:col>0</xdr:col>
      <xdr:colOff>0</xdr:colOff>
      <xdr:row>28</xdr:row>
      <xdr:rowOff>0</xdr:rowOff>
    </xdr:from>
    <xdr:to>
      <xdr:col>1</xdr:col>
      <xdr:colOff>352425</xdr:colOff>
      <xdr:row>30</xdr:row>
      <xdr:rowOff>542925</xdr:rowOff>
    </xdr:to>
    <xdr:pic>
      <xdr:nvPicPr>
        <xdr:cNvPr id="54273" name="Picture 1" descr="Мешок"/>
        <xdr:cNvPicPr>
          <a:picLocks noChangeAspect="1" noChangeArrowheads="1"/>
        </xdr:cNvPicPr>
      </xdr:nvPicPr>
      <xdr:blipFill>
        <a:blip xmlns:r="http://schemas.openxmlformats.org/officeDocument/2006/relationships" r:embed="rId3"/>
        <a:srcRect/>
        <a:stretch>
          <a:fillRect/>
        </a:stretch>
      </xdr:blipFill>
      <xdr:spPr bwMode="auto">
        <a:xfrm>
          <a:off x="0" y="11782425"/>
          <a:ext cx="962025" cy="14954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603~1\AppData\Local\Temp\&#1055;&#1088;&#1072;&#1081;&#1089;-&#1083;&#1080;&#1089;&#1090;%20&#1054;&#1088;&#1077;&#1083;%2009.01.201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nsity"/>
      <sheetName val="SALES SITE RU CS Active SKU"/>
      <sheetName val="Product Groups"/>
      <sheetName val="Transport"/>
      <sheetName val="Basic Price NEW"/>
      <sheetName val="Коммерчеcкое предложение"/>
      <sheetName val="Доп условия"/>
      <sheetName val="Прайс-лист"/>
      <sheetName val="Ненагружаемая теплоизоляция"/>
      <sheetName val="Вент. фасады и слоистая кладка"/>
      <sheetName val="Штукатурные фасады"/>
      <sheetName val="Плоские кровли"/>
      <sheetName val="Специальные применения"/>
      <sheetName val="Прайс-лист Орел 09.01.2019-4"/>
    </sheetNames>
    <sheetDataSet>
      <sheetData sheetId="0" refreshError="1"/>
      <sheetData sheetId="1">
        <row r="1">
          <cell r="A1" t="str">
            <v>Product Code (SKU) (SKU)</v>
          </cell>
          <cell r="B1" t="str">
            <v>Name (SKU) (SKU)</v>
          </cell>
          <cell r="C1" t="str">
            <v>Standard Name (SKU) (SKU)</v>
          </cell>
          <cell r="D1" t="str">
            <v>Product Group (SKU) (SKU)</v>
          </cell>
          <cell r="E1" t="str">
            <v>Price Conversion Factor (SKU) (SKU)</v>
          </cell>
          <cell r="F1" t="str">
            <v>Technical Cubes (SKU) (SKU)</v>
          </cell>
          <cell r="G1" t="str">
            <v>Unit of Measure (SKU) (SKU)</v>
          </cell>
          <cell r="H1" t="str">
            <v>Delivery Category</v>
          </cell>
          <cell r="I1" t="str">
            <v>Offer Label (SKU) (SKU)</v>
          </cell>
          <cell r="J1" t="str">
            <v>Packaging Info (SKU) (SKU)</v>
          </cell>
          <cell r="K1" t="str">
            <v>Freight Part Group</v>
          </cell>
          <cell r="L1" t="str">
            <v>Толщина</v>
          </cell>
          <cell r="M1" t="str">
            <v>Ширина</v>
          </cell>
          <cell r="N1" t="str">
            <v>Длина</v>
          </cell>
          <cell r="O1" t="str">
            <v>Пачки</v>
          </cell>
          <cell r="P1" t="str">
            <v>Плиты</v>
          </cell>
          <cell r="Q1" t="str">
            <v>Вес</v>
          </cell>
        </row>
        <row r="2">
          <cell r="A2">
            <v>8515408</v>
          </cell>
          <cell r="B2" t="str">
            <v>WAS 50 50 600X1200 BP/16 10</v>
          </cell>
          <cell r="C2" t="str">
            <v>PAROC WAS 50 Wall Slab</v>
          </cell>
          <cell r="D2" t="str">
            <v>Wall slabs &amp; boards</v>
          </cell>
          <cell r="E2">
            <v>115.2</v>
          </cell>
          <cell r="F2">
            <v>5.76</v>
          </cell>
          <cell r="G2" t="str">
            <v>m2</v>
          </cell>
          <cell r="H2">
            <v>2</v>
          </cell>
          <cell r="I2" t="str">
            <v>50 600X1200 BP/16 10</v>
          </cell>
          <cell r="J2" t="str">
            <v>BP/16 10</v>
          </cell>
          <cell r="K2" t="str">
            <v>HD</v>
          </cell>
          <cell r="L2">
            <v>50</v>
          </cell>
          <cell r="M2">
            <v>600</v>
          </cell>
          <cell r="N2">
            <v>1200</v>
          </cell>
          <cell r="O2">
            <v>16</v>
          </cell>
          <cell r="P2">
            <v>10</v>
          </cell>
          <cell r="Q2">
            <v>259.2</v>
          </cell>
        </row>
        <row r="3">
          <cell r="A3">
            <v>8555062</v>
          </cell>
          <cell r="B3" t="str">
            <v>eXtra Smart 50 600X1200 BP/32 10</v>
          </cell>
          <cell r="C3" t="str">
            <v>PAROC eXtra Smart</v>
          </cell>
          <cell r="D3" t="str">
            <v>Flexible slabs &amp; mats</v>
          </cell>
          <cell r="E3">
            <v>230.4</v>
          </cell>
          <cell r="F3">
            <v>11.52</v>
          </cell>
          <cell r="G3" t="str">
            <v>m2</v>
          </cell>
          <cell r="H3">
            <v>2</v>
          </cell>
          <cell r="I3" t="str">
            <v>50 600X1200 BP/32 10</v>
          </cell>
          <cell r="J3" t="str">
            <v>BP/32 10</v>
          </cell>
          <cell r="K3" t="str">
            <v>LD</v>
          </cell>
          <cell r="L3">
            <v>50</v>
          </cell>
          <cell r="M3">
            <v>600</v>
          </cell>
          <cell r="N3">
            <v>1200</v>
          </cell>
          <cell r="O3">
            <v>32</v>
          </cell>
          <cell r="P3">
            <v>10</v>
          </cell>
          <cell r="Q3">
            <v>345.59999999999997</v>
          </cell>
        </row>
        <row r="4">
          <cell r="A4">
            <v>8565321</v>
          </cell>
          <cell r="B4" t="str">
            <v>eXtra 50 600X1200 BP/24 16</v>
          </cell>
          <cell r="C4" t="str">
            <v>PAROC eXtra Flexible Slab</v>
          </cell>
          <cell r="D4" t="str">
            <v>Flexible slabs &amp; mats</v>
          </cell>
          <cell r="E4">
            <v>276.48</v>
          </cell>
          <cell r="F4">
            <v>13.82</v>
          </cell>
          <cell r="G4" t="str">
            <v>m2</v>
          </cell>
          <cell r="H4">
            <v>2</v>
          </cell>
          <cell r="I4" t="str">
            <v>50 600X1200 BP/24 16</v>
          </cell>
          <cell r="J4" t="str">
            <v>BP/24 16</v>
          </cell>
          <cell r="K4" t="str">
            <v>EXL</v>
          </cell>
          <cell r="L4">
            <v>50</v>
          </cell>
          <cell r="M4">
            <v>600</v>
          </cell>
          <cell r="N4">
            <v>1200</v>
          </cell>
          <cell r="O4">
            <v>24</v>
          </cell>
          <cell r="P4">
            <v>16</v>
          </cell>
          <cell r="Q4">
            <v>386.96000000000004</v>
          </cell>
        </row>
        <row r="5">
          <cell r="A5">
            <v>8539432</v>
          </cell>
          <cell r="B5" t="str">
            <v>eXtra 100 610X1220 BP/24 8</v>
          </cell>
          <cell r="C5" t="str">
            <v>PAROC eXtra Flexible Slab</v>
          </cell>
          <cell r="D5" t="str">
            <v>Flexible slabs &amp; mats</v>
          </cell>
          <cell r="E5">
            <v>142.80000000000001</v>
          </cell>
          <cell r="F5">
            <v>14.29</v>
          </cell>
          <cell r="G5" t="str">
            <v>m2</v>
          </cell>
          <cell r="H5">
            <v>2</v>
          </cell>
          <cell r="I5" t="str">
            <v>100 610X1220 BP/24 8</v>
          </cell>
          <cell r="J5" t="str">
            <v>BP/24 8</v>
          </cell>
          <cell r="K5" t="str">
            <v>EXL</v>
          </cell>
          <cell r="L5">
            <v>100</v>
          </cell>
          <cell r="M5">
            <v>610</v>
          </cell>
          <cell r="N5">
            <v>1220</v>
          </cell>
          <cell r="O5">
            <v>24</v>
          </cell>
          <cell r="P5">
            <v>8</v>
          </cell>
          <cell r="Q5">
            <v>400.12</v>
          </cell>
        </row>
        <row r="6">
          <cell r="A6">
            <v>8555065</v>
          </cell>
          <cell r="B6" t="str">
            <v>eXtra Smart 100 600X1200 BP/32 5</v>
          </cell>
          <cell r="C6" t="str">
            <v>PAROC eXtra Smart</v>
          </cell>
          <cell r="D6" t="str">
            <v>Flexible slabs &amp; mats</v>
          </cell>
          <cell r="E6">
            <v>115.2</v>
          </cell>
          <cell r="F6">
            <v>11.52</v>
          </cell>
          <cell r="G6" t="str">
            <v>m2</v>
          </cell>
          <cell r="H6">
            <v>2</v>
          </cell>
          <cell r="I6" t="str">
            <v>100 600X1200 BP/32 5</v>
          </cell>
          <cell r="J6" t="str">
            <v>BP/32 5</v>
          </cell>
          <cell r="K6" t="str">
            <v>LD</v>
          </cell>
          <cell r="L6">
            <v>100</v>
          </cell>
          <cell r="M6">
            <v>600</v>
          </cell>
          <cell r="N6">
            <v>1200</v>
          </cell>
          <cell r="O6">
            <v>32</v>
          </cell>
          <cell r="P6">
            <v>5</v>
          </cell>
          <cell r="Q6">
            <v>345.59999999999997</v>
          </cell>
        </row>
        <row r="7">
          <cell r="A7">
            <v>8540634</v>
          </cell>
          <cell r="B7" t="str">
            <v>eXtra 100 600X1200 BP/24 8</v>
          </cell>
          <cell r="C7" t="str">
            <v>PAROC eXtra Flexible Slab</v>
          </cell>
          <cell r="D7" t="str">
            <v>Flexible slabs &amp; mats</v>
          </cell>
          <cell r="E7">
            <v>138.24</v>
          </cell>
          <cell r="F7">
            <v>13.82</v>
          </cell>
          <cell r="G7" t="str">
            <v>m2</v>
          </cell>
          <cell r="H7">
            <v>2</v>
          </cell>
          <cell r="I7" t="str">
            <v>100 600X1200 BP/24 8</v>
          </cell>
          <cell r="J7" t="str">
            <v>BP/24 8</v>
          </cell>
          <cell r="K7" t="str">
            <v>EXL</v>
          </cell>
          <cell r="L7">
            <v>100</v>
          </cell>
          <cell r="M7">
            <v>600</v>
          </cell>
          <cell r="N7">
            <v>1200</v>
          </cell>
          <cell r="O7">
            <v>24</v>
          </cell>
          <cell r="P7">
            <v>8</v>
          </cell>
          <cell r="Q7">
            <v>386.96000000000004</v>
          </cell>
        </row>
        <row r="8">
          <cell r="A8">
            <v>8563187</v>
          </cell>
          <cell r="B8" t="str">
            <v>eXtra Light 50 600X1200 BP/24 16</v>
          </cell>
          <cell r="C8" t="str">
            <v>PAROC eXtra Light Flexible slab</v>
          </cell>
          <cell r="D8" t="str">
            <v>Flexible slabs &amp; mats</v>
          </cell>
          <cell r="E8">
            <v>276.48</v>
          </cell>
          <cell r="F8">
            <v>13.82</v>
          </cell>
          <cell r="G8" t="str">
            <v>m2</v>
          </cell>
          <cell r="H8">
            <v>2</v>
          </cell>
          <cell r="I8" t="str">
            <v>50 600X1200 BP/24 16</v>
          </cell>
          <cell r="J8" t="str">
            <v>BP/24 16</v>
          </cell>
          <cell r="K8" t="str">
            <v>EXL</v>
          </cell>
          <cell r="L8">
            <v>50</v>
          </cell>
          <cell r="M8">
            <v>600</v>
          </cell>
          <cell r="N8">
            <v>1200</v>
          </cell>
          <cell r="O8">
            <v>24</v>
          </cell>
          <cell r="P8">
            <v>16</v>
          </cell>
          <cell r="Q8">
            <v>331.68</v>
          </cell>
        </row>
        <row r="9">
          <cell r="A9">
            <v>8563170</v>
          </cell>
          <cell r="B9" t="str">
            <v>eXtra Light 100 600X1200 BP/24 8</v>
          </cell>
          <cell r="C9" t="str">
            <v>PAROC eXtra Light Flexible slab</v>
          </cell>
          <cell r="D9" t="str">
            <v>Flexible slabs &amp; mats</v>
          </cell>
          <cell r="E9">
            <v>138.24</v>
          </cell>
          <cell r="F9">
            <v>13.82</v>
          </cell>
          <cell r="G9" t="str">
            <v>m2</v>
          </cell>
          <cell r="H9">
            <v>2</v>
          </cell>
          <cell r="I9" t="str">
            <v>100 600X1200 BP/24 8</v>
          </cell>
          <cell r="J9" t="str">
            <v>BP/24 8</v>
          </cell>
          <cell r="K9" t="str">
            <v>EXL</v>
          </cell>
          <cell r="L9">
            <v>100</v>
          </cell>
          <cell r="M9">
            <v>600</v>
          </cell>
          <cell r="N9">
            <v>1200</v>
          </cell>
          <cell r="O9">
            <v>24</v>
          </cell>
          <cell r="P9">
            <v>8</v>
          </cell>
          <cell r="Q9">
            <v>331.68</v>
          </cell>
        </row>
        <row r="10">
          <cell r="A10">
            <v>8565320</v>
          </cell>
          <cell r="B10" t="str">
            <v>eXtra 50 610X1220 BP/24 16</v>
          </cell>
          <cell r="C10" t="str">
            <v>PAROC eXtra Flexible Slab</v>
          </cell>
          <cell r="D10" t="str">
            <v>Flexible slabs &amp; mats</v>
          </cell>
          <cell r="E10">
            <v>285.83999999999997</v>
          </cell>
          <cell r="F10">
            <v>14.29</v>
          </cell>
          <cell r="G10" t="str">
            <v>m2</v>
          </cell>
          <cell r="H10">
            <v>2</v>
          </cell>
          <cell r="I10" t="str">
            <v>50 610X1220 BP/24 16</v>
          </cell>
          <cell r="J10" t="str">
            <v>BP/24 16</v>
          </cell>
          <cell r="K10" t="str">
            <v>EXL</v>
          </cell>
          <cell r="L10">
            <v>50</v>
          </cell>
          <cell r="M10">
            <v>610</v>
          </cell>
          <cell r="N10">
            <v>1220</v>
          </cell>
          <cell r="O10">
            <v>24</v>
          </cell>
          <cell r="P10">
            <v>16</v>
          </cell>
          <cell r="Q10">
            <v>400.12</v>
          </cell>
        </row>
        <row r="11">
          <cell r="A11">
            <v>8548753</v>
          </cell>
          <cell r="B11" t="str">
            <v>Linio 15 100 600X1200 PL/24 3</v>
          </cell>
          <cell r="C11" t="str">
            <v>PAROC Linio 15 Rendered Facade Slab</v>
          </cell>
          <cell r="D11" t="str">
            <v>Rendered facades</v>
          </cell>
          <cell r="E11">
            <v>51.84</v>
          </cell>
          <cell r="F11">
            <v>5.18</v>
          </cell>
          <cell r="G11" t="str">
            <v>m2</v>
          </cell>
          <cell r="H11">
            <v>3</v>
          </cell>
          <cell r="I11" t="str">
            <v>100 600X1200 PL/24 3</v>
          </cell>
          <cell r="J11" t="str">
            <v>PL/24 3</v>
          </cell>
          <cell r="K11" t="str">
            <v>HD</v>
          </cell>
          <cell r="L11">
            <v>100</v>
          </cell>
          <cell r="M11">
            <v>600</v>
          </cell>
          <cell r="N11">
            <v>1200</v>
          </cell>
          <cell r="O11">
            <v>24</v>
          </cell>
          <cell r="P11">
            <v>3</v>
          </cell>
          <cell r="Q11">
            <v>450.65999999999997</v>
          </cell>
        </row>
        <row r="12">
          <cell r="A12">
            <v>8548870</v>
          </cell>
          <cell r="B12" t="str">
            <v>Linio 15 150 600X1200 PL/24 2</v>
          </cell>
          <cell r="C12" t="str">
            <v>PAROC Linio 15 Rendered Facade Slab</v>
          </cell>
          <cell r="D12" t="str">
            <v>Rendered facades</v>
          </cell>
          <cell r="E12">
            <v>34.56</v>
          </cell>
          <cell r="F12">
            <v>5.18</v>
          </cell>
          <cell r="G12" t="str">
            <v>m2</v>
          </cell>
          <cell r="H12">
            <v>3</v>
          </cell>
          <cell r="I12" t="str">
            <v>150 600X1200 PL/24 2</v>
          </cell>
          <cell r="J12" t="str">
            <v>PL/24 2</v>
          </cell>
          <cell r="K12" t="str">
            <v>HD</v>
          </cell>
          <cell r="L12">
            <v>150</v>
          </cell>
          <cell r="M12">
            <v>600</v>
          </cell>
          <cell r="N12">
            <v>1200</v>
          </cell>
          <cell r="O12">
            <v>24</v>
          </cell>
          <cell r="P12">
            <v>2</v>
          </cell>
          <cell r="Q12">
            <v>450.65999999999997</v>
          </cell>
        </row>
        <row r="13">
          <cell r="A13">
            <v>8557743</v>
          </cell>
          <cell r="B13" t="str">
            <v>WAS 120 70 600X1200 BP/24 10</v>
          </cell>
          <cell r="C13" t="str">
            <v>PAROC WAS 120 Wall Slab</v>
          </cell>
          <cell r="D13" t="str">
            <v>Wall slabs &amp; boards</v>
          </cell>
          <cell r="E13">
            <v>172.8</v>
          </cell>
          <cell r="F13">
            <v>12.1</v>
          </cell>
          <cell r="G13" t="str">
            <v>m2</v>
          </cell>
          <cell r="H13">
            <v>3</v>
          </cell>
          <cell r="I13" t="str">
            <v>70 600X1200 BP/24 10</v>
          </cell>
          <cell r="J13" t="str">
            <v>BP/24 10</v>
          </cell>
          <cell r="K13" t="str">
            <v>EXL</v>
          </cell>
          <cell r="L13">
            <v>70</v>
          </cell>
          <cell r="M13">
            <v>600</v>
          </cell>
          <cell r="N13">
            <v>1200</v>
          </cell>
          <cell r="O13">
            <v>24</v>
          </cell>
          <cell r="P13">
            <v>10</v>
          </cell>
          <cell r="Q13">
            <v>363</v>
          </cell>
        </row>
        <row r="14">
          <cell r="A14">
            <v>8509106</v>
          </cell>
          <cell r="B14" t="str">
            <v>SSB 1 20 600X1200 PL/27 12</v>
          </cell>
          <cell r="C14" t="str">
            <v>PAROC SSB 1 Step Sound Board</v>
          </cell>
          <cell r="D14" t="str">
            <v>Impact sound insulation</v>
          </cell>
          <cell r="E14">
            <v>233.28</v>
          </cell>
          <cell r="F14">
            <v>4.67</v>
          </cell>
          <cell r="G14" t="str">
            <v>m2</v>
          </cell>
          <cell r="H14">
            <v>3</v>
          </cell>
          <cell r="I14" t="str">
            <v>20 600X1200 PL/27 12</v>
          </cell>
          <cell r="J14" t="str">
            <v>PL/27 12</v>
          </cell>
          <cell r="K14" t="str">
            <v>HD</v>
          </cell>
          <cell r="L14">
            <v>20</v>
          </cell>
          <cell r="M14">
            <v>600</v>
          </cell>
          <cell r="N14">
            <v>1200</v>
          </cell>
          <cell r="O14">
            <v>27</v>
          </cell>
          <cell r="P14">
            <v>12</v>
          </cell>
          <cell r="Q14">
            <v>537.04999999999995</v>
          </cell>
        </row>
        <row r="15">
          <cell r="A15">
            <v>8508715</v>
          </cell>
          <cell r="B15" t="str">
            <v>ROB 80 20 1200X1800 PL/112</v>
          </cell>
          <cell r="C15" t="str">
            <v>PAROC ROB 80 Roof Board</v>
          </cell>
          <cell r="D15" t="str">
            <v>Roof - Slabs and boards</v>
          </cell>
          <cell r="E15">
            <v>241.92</v>
          </cell>
          <cell r="F15">
            <v>4.84</v>
          </cell>
          <cell r="G15" t="str">
            <v>m2</v>
          </cell>
          <cell r="H15">
            <v>3</v>
          </cell>
          <cell r="I15" t="str">
            <v>20 1200X1800 PL/112</v>
          </cell>
          <cell r="J15" t="str">
            <v>PL/112</v>
          </cell>
          <cell r="K15" t="str">
            <v>HD</v>
          </cell>
          <cell r="L15">
            <v>20</v>
          </cell>
          <cell r="M15">
            <v>1200</v>
          </cell>
          <cell r="N15">
            <v>1800</v>
          </cell>
          <cell r="O15">
            <v>112</v>
          </cell>
          <cell r="Q15">
            <v>847</v>
          </cell>
        </row>
        <row r="16">
          <cell r="A16">
            <v>8539431</v>
          </cell>
          <cell r="B16" t="str">
            <v>eXtra 100 565X1220 BP/24 8</v>
          </cell>
          <cell r="C16" t="str">
            <v>PAROC eXtra Flexible Slab</v>
          </cell>
          <cell r="D16" t="str">
            <v>Flexible slabs &amp; mats</v>
          </cell>
          <cell r="E16">
            <v>132.24</v>
          </cell>
          <cell r="F16">
            <v>13.23</v>
          </cell>
          <cell r="G16" t="str">
            <v>m2</v>
          </cell>
          <cell r="H16">
            <v>3</v>
          </cell>
          <cell r="I16" t="str">
            <v>100 565X1220 BP/24 8</v>
          </cell>
          <cell r="J16" t="str">
            <v>BP/24 8</v>
          </cell>
          <cell r="K16" t="str">
            <v>EXL</v>
          </cell>
          <cell r="L16">
            <v>100</v>
          </cell>
          <cell r="M16">
            <v>565</v>
          </cell>
          <cell r="N16">
            <v>1220</v>
          </cell>
          <cell r="O16">
            <v>24</v>
          </cell>
          <cell r="P16">
            <v>8</v>
          </cell>
          <cell r="Q16">
            <v>370.44</v>
          </cell>
        </row>
        <row r="17">
          <cell r="A17">
            <v>8539512</v>
          </cell>
          <cell r="B17" t="str">
            <v>eXtra 75 610X1220 BP/24 10</v>
          </cell>
          <cell r="C17" t="str">
            <v>PAROC eXtra Flexible Slab</v>
          </cell>
          <cell r="D17" t="str">
            <v>Flexible slabs &amp; mats</v>
          </cell>
          <cell r="E17">
            <v>178.56</v>
          </cell>
          <cell r="F17">
            <v>13.4</v>
          </cell>
          <cell r="G17" t="str">
            <v>m2</v>
          </cell>
          <cell r="H17">
            <v>3</v>
          </cell>
          <cell r="I17" t="str">
            <v>75 610X1220 BP/24 10</v>
          </cell>
          <cell r="J17" t="str">
            <v>BP/24 10</v>
          </cell>
          <cell r="K17" t="str">
            <v>EXL</v>
          </cell>
          <cell r="L17">
            <v>75</v>
          </cell>
          <cell r="M17">
            <v>610</v>
          </cell>
          <cell r="N17">
            <v>1220</v>
          </cell>
          <cell r="O17">
            <v>24</v>
          </cell>
          <cell r="P17">
            <v>10</v>
          </cell>
          <cell r="Q17">
            <v>375.2</v>
          </cell>
        </row>
        <row r="18">
          <cell r="A18">
            <v>8549407</v>
          </cell>
          <cell r="B18" t="str">
            <v>Linio 15 20 600X1200 PL/36 10</v>
          </cell>
          <cell r="C18" t="str">
            <v>PAROC Linio 15 Rendered Facade Slab</v>
          </cell>
          <cell r="D18" t="str">
            <v>Rendered facades</v>
          </cell>
          <cell r="E18">
            <v>259.2</v>
          </cell>
          <cell r="F18">
            <v>5.18</v>
          </cell>
          <cell r="G18" t="str">
            <v>m2</v>
          </cell>
          <cell r="H18">
            <v>3</v>
          </cell>
          <cell r="I18" t="str">
            <v>20 600X1200 PL/36 10</v>
          </cell>
          <cell r="J18" t="str">
            <v>PL/36 10</v>
          </cell>
          <cell r="K18" t="str">
            <v>HD</v>
          </cell>
          <cell r="L18">
            <v>20</v>
          </cell>
          <cell r="M18">
            <v>600</v>
          </cell>
          <cell r="N18">
            <v>1200</v>
          </cell>
          <cell r="O18">
            <v>36</v>
          </cell>
          <cell r="P18">
            <v>10</v>
          </cell>
          <cell r="Q18">
            <v>450.65999999999997</v>
          </cell>
        </row>
        <row r="19">
          <cell r="A19">
            <v>8548876</v>
          </cell>
          <cell r="B19" t="str">
            <v>Linio 15 30 600X1200 PL/33 7</v>
          </cell>
          <cell r="C19" t="str">
            <v>PAROC Linio 15 Rendered Facade Slab</v>
          </cell>
          <cell r="D19" t="str">
            <v>Rendered facades</v>
          </cell>
          <cell r="E19">
            <v>166.32</v>
          </cell>
          <cell r="F19">
            <v>4.99</v>
          </cell>
          <cell r="G19" t="str">
            <v>m2</v>
          </cell>
          <cell r="H19">
            <v>3</v>
          </cell>
          <cell r="I19" t="str">
            <v>30 600X1200 PL/33 7</v>
          </cell>
          <cell r="J19" t="str">
            <v>PL/33 7</v>
          </cell>
          <cell r="K19" t="str">
            <v>HD</v>
          </cell>
          <cell r="L19">
            <v>30</v>
          </cell>
          <cell r="M19">
            <v>600</v>
          </cell>
          <cell r="N19">
            <v>1200</v>
          </cell>
          <cell r="O19">
            <v>33</v>
          </cell>
          <cell r="P19">
            <v>7</v>
          </cell>
          <cell r="Q19">
            <v>434.13</v>
          </cell>
        </row>
        <row r="20">
          <cell r="A20">
            <v>8559797</v>
          </cell>
          <cell r="B20" t="str">
            <v>Linio 18 100 600X1200 PL/24 3</v>
          </cell>
          <cell r="C20" t="str">
            <v>PAROC Linio 18 Rendered Facade Slab</v>
          </cell>
          <cell r="D20" t="str">
            <v>Rendered facades</v>
          </cell>
          <cell r="E20">
            <v>51.84</v>
          </cell>
          <cell r="F20">
            <v>5.18</v>
          </cell>
          <cell r="G20" t="str">
            <v>m2</v>
          </cell>
          <cell r="H20">
            <v>3</v>
          </cell>
          <cell r="I20" t="str">
            <v>100 600X1200 PL/24 3</v>
          </cell>
          <cell r="J20" t="str">
            <v>PL/24 3</v>
          </cell>
          <cell r="K20" t="str">
            <v>HD</v>
          </cell>
          <cell r="L20">
            <v>100</v>
          </cell>
          <cell r="M20">
            <v>600</v>
          </cell>
          <cell r="N20">
            <v>1200</v>
          </cell>
          <cell r="O20">
            <v>24</v>
          </cell>
          <cell r="P20">
            <v>3</v>
          </cell>
          <cell r="Q20">
            <v>481.73999999999995</v>
          </cell>
        </row>
        <row r="21">
          <cell r="A21">
            <v>8559799</v>
          </cell>
          <cell r="B21" t="str">
            <v>Linio 18 150 600X1200 PL/24 2</v>
          </cell>
          <cell r="C21" t="str">
            <v>PAROC Linio 18 Rendered Facade Slab</v>
          </cell>
          <cell r="D21" t="str">
            <v>Rendered facades</v>
          </cell>
          <cell r="E21">
            <v>34.56</v>
          </cell>
          <cell r="F21">
            <v>5.18</v>
          </cell>
          <cell r="G21" t="str">
            <v>m2</v>
          </cell>
          <cell r="H21">
            <v>3</v>
          </cell>
          <cell r="I21" t="str">
            <v>150 600X1200 PL/24 2</v>
          </cell>
          <cell r="J21" t="str">
            <v>PL/24 2</v>
          </cell>
          <cell r="K21" t="str">
            <v>HD</v>
          </cell>
          <cell r="L21">
            <v>150</v>
          </cell>
          <cell r="M21">
            <v>600</v>
          </cell>
          <cell r="N21">
            <v>1200</v>
          </cell>
          <cell r="O21">
            <v>24</v>
          </cell>
          <cell r="P21">
            <v>2</v>
          </cell>
          <cell r="Q21">
            <v>481.73999999999995</v>
          </cell>
        </row>
        <row r="22">
          <cell r="A22">
            <v>8548765</v>
          </cell>
          <cell r="B22" t="str">
            <v>Linio 10 150 600X1200 PL/24 2</v>
          </cell>
          <cell r="C22" t="str">
            <v>PAROC Linio 10 Rendered Facade Slab</v>
          </cell>
          <cell r="D22" t="str">
            <v>Rendered facades</v>
          </cell>
          <cell r="E22">
            <v>34.56</v>
          </cell>
          <cell r="F22">
            <v>5.18</v>
          </cell>
          <cell r="G22" t="str">
            <v>m2</v>
          </cell>
          <cell r="H22">
            <v>3</v>
          </cell>
          <cell r="I22" t="str">
            <v>150 600X1200 PL/24 2</v>
          </cell>
          <cell r="J22" t="str">
            <v>PL/24 2</v>
          </cell>
          <cell r="K22" t="str">
            <v>HD</v>
          </cell>
          <cell r="L22">
            <v>150</v>
          </cell>
          <cell r="M22">
            <v>600</v>
          </cell>
          <cell r="N22">
            <v>1200</v>
          </cell>
          <cell r="O22">
            <v>24</v>
          </cell>
          <cell r="P22">
            <v>2</v>
          </cell>
          <cell r="Q22">
            <v>398.85999999999996</v>
          </cell>
        </row>
        <row r="23">
          <cell r="A23">
            <v>8550109</v>
          </cell>
          <cell r="B23" t="str">
            <v>WAS 35 30 600X1200 PL/24 10</v>
          </cell>
          <cell r="C23" t="str">
            <v>PAROC WAS 35 Wall Slab</v>
          </cell>
          <cell r="D23" t="str">
            <v>Wall slabs &amp; boards</v>
          </cell>
          <cell r="E23">
            <v>172.8</v>
          </cell>
          <cell r="F23">
            <v>5.18</v>
          </cell>
          <cell r="G23" t="str">
            <v>m2</v>
          </cell>
          <cell r="H23">
            <v>3</v>
          </cell>
          <cell r="I23" t="str">
            <v>30 600X1200 PL/24 10</v>
          </cell>
          <cell r="J23" t="str">
            <v>PL/24 10</v>
          </cell>
          <cell r="K23" t="str">
            <v>HD</v>
          </cell>
          <cell r="L23">
            <v>30</v>
          </cell>
          <cell r="M23">
            <v>600</v>
          </cell>
          <cell r="N23">
            <v>1200</v>
          </cell>
          <cell r="O23">
            <v>24</v>
          </cell>
          <cell r="P23">
            <v>10</v>
          </cell>
          <cell r="Q23">
            <v>362.59999999999997</v>
          </cell>
        </row>
        <row r="24">
          <cell r="A24">
            <v>8548864</v>
          </cell>
          <cell r="B24" t="str">
            <v>Linio 15 120 600X1200 PL/30 2</v>
          </cell>
          <cell r="C24" t="str">
            <v>PAROC Linio 15 Rendered Facade Slab</v>
          </cell>
          <cell r="D24" t="str">
            <v>Rendered facades</v>
          </cell>
          <cell r="E24">
            <v>43.2</v>
          </cell>
          <cell r="F24">
            <v>5.18</v>
          </cell>
          <cell r="G24" t="str">
            <v>m2</v>
          </cell>
          <cell r="H24">
            <v>3</v>
          </cell>
          <cell r="I24" t="str">
            <v>120 600X1200 PL/30 2</v>
          </cell>
          <cell r="J24" t="str">
            <v>PL/30 2</v>
          </cell>
          <cell r="K24" t="str">
            <v>HD</v>
          </cell>
          <cell r="L24">
            <v>120</v>
          </cell>
          <cell r="M24">
            <v>600</v>
          </cell>
          <cell r="N24">
            <v>1200</v>
          </cell>
          <cell r="O24">
            <v>30</v>
          </cell>
          <cell r="P24">
            <v>2</v>
          </cell>
          <cell r="Q24">
            <v>450.65999999999997</v>
          </cell>
        </row>
        <row r="25">
          <cell r="A25">
            <v>8555914</v>
          </cell>
          <cell r="B25" t="str">
            <v>InWall 50 600X1200 BP/16 12</v>
          </cell>
          <cell r="C25" t="str">
            <v>PAROC InWall Wall Slab</v>
          </cell>
          <cell r="D25" t="str">
            <v>Wall slabs &amp; boards</v>
          </cell>
          <cell r="E25">
            <v>138.24</v>
          </cell>
          <cell r="F25">
            <v>6.91</v>
          </cell>
          <cell r="G25" t="str">
            <v>m2</v>
          </cell>
          <cell r="H25">
            <v>3</v>
          </cell>
          <cell r="I25" t="str">
            <v>50 600X1200 BP/16 12</v>
          </cell>
          <cell r="J25" t="str">
            <v>BP/16 12</v>
          </cell>
          <cell r="K25" t="str">
            <v>MD</v>
          </cell>
          <cell r="L25">
            <v>50</v>
          </cell>
          <cell r="M25">
            <v>600</v>
          </cell>
          <cell r="N25">
            <v>1200</v>
          </cell>
          <cell r="O25">
            <v>16</v>
          </cell>
          <cell r="P25">
            <v>12</v>
          </cell>
          <cell r="Q25">
            <v>262.58</v>
          </cell>
        </row>
        <row r="26">
          <cell r="A26">
            <v>8557749</v>
          </cell>
          <cell r="B26" t="str">
            <v>WAS 120 100 600X1200 BP/24 8</v>
          </cell>
          <cell r="C26" t="str">
            <v>PAROC WAS 120 Wall Slab</v>
          </cell>
          <cell r="D26" t="str">
            <v>Wall slabs &amp; boards</v>
          </cell>
          <cell r="E26">
            <v>138.24</v>
          </cell>
          <cell r="F26">
            <v>13.82</v>
          </cell>
          <cell r="G26" t="str">
            <v>m2</v>
          </cell>
          <cell r="H26">
            <v>3</v>
          </cell>
          <cell r="I26" t="str">
            <v>100 600X1200 BP/24 8</v>
          </cell>
          <cell r="J26" t="str">
            <v>BP/24 8</v>
          </cell>
          <cell r="K26" t="str">
            <v>EXL</v>
          </cell>
          <cell r="L26">
            <v>100</v>
          </cell>
          <cell r="M26">
            <v>600</v>
          </cell>
          <cell r="N26">
            <v>1200</v>
          </cell>
          <cell r="O26">
            <v>24</v>
          </cell>
          <cell r="P26">
            <v>8</v>
          </cell>
          <cell r="Q26">
            <v>414.6</v>
          </cell>
        </row>
        <row r="27">
          <cell r="A27">
            <v>8565657</v>
          </cell>
          <cell r="B27" t="str">
            <v>eXtra Light 100 610X1220 BP/24 8</v>
          </cell>
          <cell r="C27" t="str">
            <v>PAROC eXtra Light Flexible slab</v>
          </cell>
          <cell r="D27" t="str">
            <v>Flexible slabs &amp; mats</v>
          </cell>
          <cell r="E27">
            <v>142.80000000000001</v>
          </cell>
          <cell r="F27">
            <v>14.29</v>
          </cell>
          <cell r="G27" t="str">
            <v>m2</v>
          </cell>
          <cell r="H27">
            <v>3</v>
          </cell>
          <cell r="I27" t="str">
            <v>100 610X1220 BP/24 8</v>
          </cell>
          <cell r="J27" t="str">
            <v>BP/24 8</v>
          </cell>
          <cell r="K27" t="str">
            <v>EXL</v>
          </cell>
          <cell r="L27">
            <v>100</v>
          </cell>
          <cell r="M27">
            <v>610</v>
          </cell>
          <cell r="N27">
            <v>1220</v>
          </cell>
          <cell r="O27">
            <v>24</v>
          </cell>
          <cell r="P27">
            <v>8</v>
          </cell>
          <cell r="Q27">
            <v>342.96</v>
          </cell>
        </row>
        <row r="28">
          <cell r="A28">
            <v>8567253</v>
          </cell>
          <cell r="B28" t="str">
            <v>eXtra Light 150 600X1200 BP/24 5</v>
          </cell>
          <cell r="C28" t="str">
            <v>PAROC eXtra Light Flexible slab</v>
          </cell>
          <cell r="D28" t="str">
            <v>Flexible slabs &amp; mats</v>
          </cell>
          <cell r="E28">
            <v>86.4</v>
          </cell>
          <cell r="F28">
            <v>12.96</v>
          </cell>
          <cell r="G28" t="str">
            <v>m2</v>
          </cell>
          <cell r="H28">
            <v>3</v>
          </cell>
          <cell r="I28" t="str">
            <v>150 600X1200 BP/24 5</v>
          </cell>
          <cell r="J28" t="str">
            <v>BP/24 5</v>
          </cell>
          <cell r="K28" t="str">
            <v>EXL</v>
          </cell>
          <cell r="L28">
            <v>150</v>
          </cell>
          <cell r="M28">
            <v>600</v>
          </cell>
          <cell r="N28">
            <v>1200</v>
          </cell>
          <cell r="O28">
            <v>24</v>
          </cell>
          <cell r="P28">
            <v>5</v>
          </cell>
          <cell r="Q28">
            <v>311.04000000000002</v>
          </cell>
        </row>
        <row r="29">
          <cell r="A29">
            <v>8548878</v>
          </cell>
          <cell r="B29" t="str">
            <v>Linio 15 50 600X1200 PL/24 6</v>
          </cell>
          <cell r="C29" t="str">
            <v>PAROC Linio 15 Rendered Facade Slab</v>
          </cell>
          <cell r="D29" t="str">
            <v>Rendered facades</v>
          </cell>
          <cell r="E29">
            <v>103.68</v>
          </cell>
          <cell r="F29">
            <v>5.18</v>
          </cell>
          <cell r="G29" t="str">
            <v>m2</v>
          </cell>
          <cell r="H29">
            <v>3</v>
          </cell>
          <cell r="I29" t="str">
            <v>50 600X1200 PL/24 6</v>
          </cell>
          <cell r="J29" t="str">
            <v>PL/24 6</v>
          </cell>
          <cell r="K29" t="str">
            <v>HD</v>
          </cell>
          <cell r="L29">
            <v>50</v>
          </cell>
          <cell r="M29">
            <v>600</v>
          </cell>
          <cell r="N29">
            <v>1200</v>
          </cell>
          <cell r="O29">
            <v>24</v>
          </cell>
          <cell r="P29">
            <v>6</v>
          </cell>
          <cell r="Q29">
            <v>450.65999999999997</v>
          </cell>
        </row>
        <row r="30">
          <cell r="A30">
            <v>8550097</v>
          </cell>
          <cell r="B30" t="str">
            <v>WAS 35tb 50 600X1200 PL/24 6</v>
          </cell>
          <cell r="C30" t="str">
            <v>PAROC WAS 35tb Wall Slab</v>
          </cell>
          <cell r="D30" t="str">
            <v>Wall slabs &amp; boards</v>
          </cell>
          <cell r="E30">
            <v>103.68</v>
          </cell>
          <cell r="F30">
            <v>5.18</v>
          </cell>
          <cell r="G30" t="str">
            <v>m2</v>
          </cell>
          <cell r="H30">
            <v>3</v>
          </cell>
          <cell r="I30" t="str">
            <v>50 600X1200 PL/24 6</v>
          </cell>
          <cell r="J30" t="str">
            <v>PL/24 6</v>
          </cell>
          <cell r="K30" t="str">
            <v>HD</v>
          </cell>
          <cell r="L30">
            <v>50</v>
          </cell>
          <cell r="M30">
            <v>600</v>
          </cell>
          <cell r="N30">
            <v>1200</v>
          </cell>
          <cell r="O30">
            <v>24</v>
          </cell>
          <cell r="P30">
            <v>6</v>
          </cell>
          <cell r="Q30">
            <v>362.59999999999997</v>
          </cell>
        </row>
        <row r="31">
          <cell r="A31">
            <v>8550070</v>
          </cell>
          <cell r="B31" t="str">
            <v>WAS 25tb 30 600X1200 PL/24 10</v>
          </cell>
          <cell r="C31" t="str">
            <v>PAROC WAS 25tb Wall Slab</v>
          </cell>
          <cell r="D31" t="str">
            <v>Wall slabs &amp; boards</v>
          </cell>
          <cell r="E31">
            <v>172.8</v>
          </cell>
          <cell r="F31">
            <v>5.18</v>
          </cell>
          <cell r="G31" t="str">
            <v>m2</v>
          </cell>
          <cell r="H31">
            <v>3</v>
          </cell>
          <cell r="I31" t="str">
            <v>30 600X1200 PL/24 10</v>
          </cell>
          <cell r="J31" t="str">
            <v>PL/24 10</v>
          </cell>
          <cell r="K31" t="str">
            <v>HD</v>
          </cell>
          <cell r="L31">
            <v>30</v>
          </cell>
          <cell r="M31">
            <v>600</v>
          </cell>
          <cell r="N31">
            <v>1200</v>
          </cell>
          <cell r="O31">
            <v>24</v>
          </cell>
          <cell r="P31">
            <v>10</v>
          </cell>
          <cell r="Q31">
            <v>414.4</v>
          </cell>
        </row>
        <row r="32">
          <cell r="A32">
            <v>8555920</v>
          </cell>
          <cell r="B32" t="str">
            <v>SSB 4 50 600X1200 PL/24 6</v>
          </cell>
          <cell r="C32" t="str">
            <v>PAROC SSB 4 Step Sound Board</v>
          </cell>
          <cell r="D32" t="str">
            <v>Impact sound insulation</v>
          </cell>
          <cell r="E32">
            <v>103.68</v>
          </cell>
          <cell r="F32">
            <v>5.18</v>
          </cell>
          <cell r="G32" t="str">
            <v>m2</v>
          </cell>
          <cell r="H32">
            <v>3</v>
          </cell>
          <cell r="I32" t="str">
            <v>50 600X1200 PL/24 6</v>
          </cell>
          <cell r="J32" t="str">
            <v>PL/24 6</v>
          </cell>
          <cell r="K32" t="str">
            <v>HD</v>
          </cell>
          <cell r="L32">
            <v>50</v>
          </cell>
          <cell r="M32">
            <v>600</v>
          </cell>
          <cell r="N32">
            <v>1200</v>
          </cell>
          <cell r="O32">
            <v>24</v>
          </cell>
          <cell r="P32">
            <v>6</v>
          </cell>
          <cell r="Q32">
            <v>497.28</v>
          </cell>
        </row>
        <row r="33">
          <cell r="A33">
            <v>8555916</v>
          </cell>
          <cell r="B33" t="str">
            <v>InWall 100 600X1200 BP/16 6</v>
          </cell>
          <cell r="C33" t="str">
            <v>PAROC InWall Wall Slab</v>
          </cell>
          <cell r="D33" t="str">
            <v>Wall slabs &amp; boards</v>
          </cell>
          <cell r="E33">
            <v>69.12</v>
          </cell>
          <cell r="F33">
            <v>6.91</v>
          </cell>
          <cell r="G33" t="str">
            <v>m2</v>
          </cell>
          <cell r="H33">
            <v>3</v>
          </cell>
          <cell r="I33" t="str">
            <v>100 600X1200 BP/16 6</v>
          </cell>
          <cell r="J33" t="str">
            <v>BP/16 6</v>
          </cell>
          <cell r="K33" t="str">
            <v>MD</v>
          </cell>
          <cell r="L33">
            <v>100</v>
          </cell>
          <cell r="M33">
            <v>600</v>
          </cell>
          <cell r="N33">
            <v>1200</v>
          </cell>
          <cell r="O33">
            <v>16</v>
          </cell>
          <cell r="P33">
            <v>6</v>
          </cell>
          <cell r="Q33">
            <v>262.58</v>
          </cell>
        </row>
        <row r="34">
          <cell r="A34">
            <v>8557747</v>
          </cell>
          <cell r="B34" t="str">
            <v>WAS 120 120 600X1200 BP/24 6</v>
          </cell>
          <cell r="C34" t="str">
            <v>PAROC WAS 120 Wall Slab</v>
          </cell>
          <cell r="D34" t="str">
            <v>Wall slabs &amp; boards</v>
          </cell>
          <cell r="E34">
            <v>103.68</v>
          </cell>
          <cell r="F34">
            <v>12.44</v>
          </cell>
          <cell r="G34" t="str">
            <v>m2</v>
          </cell>
          <cell r="H34">
            <v>3</v>
          </cell>
          <cell r="I34" t="str">
            <v>120 600X1200 BP/24 6</v>
          </cell>
          <cell r="J34" t="str">
            <v>BP/24 6</v>
          </cell>
          <cell r="K34" t="str">
            <v>EXL</v>
          </cell>
          <cell r="L34">
            <v>120</v>
          </cell>
          <cell r="M34">
            <v>600</v>
          </cell>
          <cell r="N34">
            <v>1200</v>
          </cell>
          <cell r="O34">
            <v>24</v>
          </cell>
          <cell r="P34">
            <v>6</v>
          </cell>
          <cell r="Q34">
            <v>373.2</v>
          </cell>
        </row>
        <row r="35">
          <cell r="A35">
            <v>8565318</v>
          </cell>
          <cell r="B35" t="str">
            <v>eXtra 50 565X1220 BP/24 16</v>
          </cell>
          <cell r="C35" t="str">
            <v>PAROC eXtra Flexible Slab</v>
          </cell>
          <cell r="D35" t="str">
            <v>Flexible slabs &amp; mats</v>
          </cell>
          <cell r="E35">
            <v>264.72000000000003</v>
          </cell>
          <cell r="F35">
            <v>13.23</v>
          </cell>
          <cell r="G35" t="str">
            <v>m2</v>
          </cell>
          <cell r="H35">
            <v>3</v>
          </cell>
          <cell r="I35" t="str">
            <v>50 565X1220 BP/24 16</v>
          </cell>
          <cell r="J35" t="str">
            <v>BP/24 16</v>
          </cell>
          <cell r="K35" t="str">
            <v>EXL</v>
          </cell>
          <cell r="L35">
            <v>50</v>
          </cell>
          <cell r="M35">
            <v>565</v>
          </cell>
          <cell r="N35">
            <v>1220</v>
          </cell>
          <cell r="O35">
            <v>24</v>
          </cell>
          <cell r="P35">
            <v>16</v>
          </cell>
          <cell r="Q35">
            <v>370.44</v>
          </cell>
        </row>
        <row r="36">
          <cell r="A36">
            <v>8507231</v>
          </cell>
          <cell r="B36" t="str">
            <v>ROB 60 20 1200X1800 PL/112</v>
          </cell>
          <cell r="C36" t="str">
            <v>PAROC ROB 60 Roof Board</v>
          </cell>
          <cell r="D36" t="str">
            <v>Roof - Slabs and boards</v>
          </cell>
          <cell r="E36">
            <v>241.92</v>
          </cell>
          <cell r="F36">
            <v>4.84</v>
          </cell>
          <cell r="G36" t="str">
            <v>m2</v>
          </cell>
          <cell r="H36">
            <v>3</v>
          </cell>
          <cell r="I36" t="str">
            <v>20 1200X1800 PL/112</v>
          </cell>
          <cell r="J36" t="str">
            <v>PL/112</v>
          </cell>
          <cell r="K36" t="str">
            <v>HD</v>
          </cell>
          <cell r="L36">
            <v>20</v>
          </cell>
          <cell r="M36">
            <v>1200</v>
          </cell>
          <cell r="N36">
            <v>1800</v>
          </cell>
          <cell r="O36">
            <v>112</v>
          </cell>
          <cell r="Q36">
            <v>711.48</v>
          </cell>
        </row>
        <row r="37">
          <cell r="A37">
            <v>8508701</v>
          </cell>
          <cell r="B37" t="str">
            <v>ROS 60 40 1200X1800 PL/56</v>
          </cell>
          <cell r="C37" t="str">
            <v>PAROC ROS 60 Roof Slab</v>
          </cell>
          <cell r="D37" t="str">
            <v>Roof - Slabs and boards</v>
          </cell>
          <cell r="E37">
            <v>120.96</v>
          </cell>
          <cell r="F37">
            <v>4.84</v>
          </cell>
          <cell r="G37" t="str">
            <v>m2</v>
          </cell>
          <cell r="H37">
            <v>3</v>
          </cell>
          <cell r="I37" t="str">
            <v>40 1200X1800 PL/56</v>
          </cell>
          <cell r="J37" t="str">
            <v>PL/56</v>
          </cell>
          <cell r="K37" t="str">
            <v>HD</v>
          </cell>
          <cell r="L37">
            <v>40</v>
          </cell>
          <cell r="M37">
            <v>1200</v>
          </cell>
          <cell r="N37">
            <v>1800</v>
          </cell>
          <cell r="O37">
            <v>56</v>
          </cell>
          <cell r="Q37">
            <v>580.79999999999995</v>
          </cell>
        </row>
        <row r="38">
          <cell r="A38">
            <v>8515470</v>
          </cell>
          <cell r="B38" t="str">
            <v>WAS 50 100 600X1200 BP/16 5</v>
          </cell>
          <cell r="C38" t="str">
            <v>PAROC WAS 50 Wall Slab</v>
          </cell>
          <cell r="D38" t="str">
            <v>Wall slabs &amp; boards</v>
          </cell>
          <cell r="E38">
            <v>57.6</v>
          </cell>
          <cell r="F38">
            <v>5.76</v>
          </cell>
          <cell r="G38" t="str">
            <v>m2</v>
          </cell>
          <cell r="H38">
            <v>3</v>
          </cell>
          <cell r="I38" t="str">
            <v>100 600X1200 BP/16 5</v>
          </cell>
          <cell r="J38" t="str">
            <v>BP/16 5</v>
          </cell>
          <cell r="K38" t="str">
            <v>HD</v>
          </cell>
          <cell r="L38">
            <v>100</v>
          </cell>
          <cell r="M38">
            <v>600</v>
          </cell>
          <cell r="N38">
            <v>1200</v>
          </cell>
          <cell r="O38">
            <v>16</v>
          </cell>
          <cell r="P38">
            <v>5</v>
          </cell>
          <cell r="Q38">
            <v>259.2</v>
          </cell>
        </row>
        <row r="39">
          <cell r="A39">
            <v>8550098</v>
          </cell>
          <cell r="B39" t="str">
            <v>WAS 35tb 30 600X1200 PL/24 10</v>
          </cell>
          <cell r="C39" t="str">
            <v>PAROC WAS 35tb Wall Slab</v>
          </cell>
          <cell r="D39" t="str">
            <v>Wall slabs &amp; boards</v>
          </cell>
          <cell r="E39">
            <v>172.8</v>
          </cell>
          <cell r="F39">
            <v>5.18</v>
          </cell>
          <cell r="G39" t="str">
            <v>m2</v>
          </cell>
          <cell r="H39">
            <v>3</v>
          </cell>
          <cell r="I39" t="str">
            <v>30 600X1200 PL/24 10</v>
          </cell>
          <cell r="J39" t="str">
            <v>PL/24 10</v>
          </cell>
          <cell r="K39" t="str">
            <v>HD</v>
          </cell>
          <cell r="L39">
            <v>30</v>
          </cell>
          <cell r="M39">
            <v>600</v>
          </cell>
          <cell r="N39">
            <v>1200</v>
          </cell>
          <cell r="O39">
            <v>24</v>
          </cell>
          <cell r="P39">
            <v>10</v>
          </cell>
          <cell r="Q39">
            <v>362.59999999999997</v>
          </cell>
        </row>
        <row r="40">
          <cell r="A40">
            <v>8548775</v>
          </cell>
          <cell r="B40" t="str">
            <v>Linio 10 50 600X1200 PL/24 6</v>
          </cell>
          <cell r="C40" t="str">
            <v>PAROC Linio 10 Rendered Facade Slab</v>
          </cell>
          <cell r="D40" t="str">
            <v>Rendered facades</v>
          </cell>
          <cell r="E40">
            <v>103.68</v>
          </cell>
          <cell r="F40">
            <v>5.18</v>
          </cell>
          <cell r="G40" t="str">
            <v>m2</v>
          </cell>
          <cell r="H40">
            <v>3</v>
          </cell>
          <cell r="I40" t="str">
            <v>50 600X1200 PL/24 6</v>
          </cell>
          <cell r="J40" t="str">
            <v>PL/24 6</v>
          </cell>
          <cell r="K40" t="str">
            <v>HD</v>
          </cell>
          <cell r="L40">
            <v>50</v>
          </cell>
          <cell r="M40">
            <v>600</v>
          </cell>
          <cell r="N40">
            <v>1200</v>
          </cell>
          <cell r="O40">
            <v>24</v>
          </cell>
          <cell r="P40">
            <v>6</v>
          </cell>
          <cell r="Q40">
            <v>398.85999999999996</v>
          </cell>
        </row>
        <row r="41">
          <cell r="A41">
            <v>8500918</v>
          </cell>
          <cell r="B41" t="str">
            <v>ROS 30 100 1200X1800 PL/22</v>
          </cell>
          <cell r="C41" t="str">
            <v>PAROC ROS 30 Roof Slab</v>
          </cell>
          <cell r="D41" t="str">
            <v>Roof - Slabs and boards</v>
          </cell>
          <cell r="E41">
            <v>47.52</v>
          </cell>
          <cell r="F41">
            <v>4.75</v>
          </cell>
          <cell r="G41" t="str">
            <v>m2</v>
          </cell>
          <cell r="H41">
            <v>3</v>
          </cell>
          <cell r="I41" t="str">
            <v>100 1200X1800 PL/22</v>
          </cell>
          <cell r="J41" t="str">
            <v>PL/22</v>
          </cell>
          <cell r="K41" t="str">
            <v>HD</v>
          </cell>
          <cell r="L41">
            <v>100</v>
          </cell>
          <cell r="M41">
            <v>1200</v>
          </cell>
          <cell r="N41">
            <v>1800</v>
          </cell>
          <cell r="O41">
            <v>22</v>
          </cell>
          <cell r="Q41">
            <v>403.75</v>
          </cell>
        </row>
        <row r="42">
          <cell r="A42">
            <v>8509173</v>
          </cell>
          <cell r="B42" t="str">
            <v>ROS 30 130 1200X1800 PL/17</v>
          </cell>
          <cell r="C42" t="str">
            <v>PAROC ROS 30 Roof Slab</v>
          </cell>
          <cell r="D42" t="str">
            <v>Roof - Slabs and boards</v>
          </cell>
          <cell r="E42">
            <v>36.72</v>
          </cell>
          <cell r="F42">
            <v>4.7699999999999996</v>
          </cell>
          <cell r="G42" t="str">
            <v>m2</v>
          </cell>
          <cell r="H42">
            <v>3</v>
          </cell>
          <cell r="I42" t="str">
            <v>130 1200X1800 PL/17</v>
          </cell>
          <cell r="J42" t="str">
            <v>PL/17</v>
          </cell>
          <cell r="K42" t="str">
            <v>HD</v>
          </cell>
          <cell r="L42">
            <v>130</v>
          </cell>
          <cell r="M42">
            <v>1200</v>
          </cell>
          <cell r="N42">
            <v>1800</v>
          </cell>
          <cell r="O42">
            <v>17</v>
          </cell>
          <cell r="Q42">
            <v>405.45</v>
          </cell>
        </row>
        <row r="43">
          <cell r="A43">
            <v>8543444</v>
          </cell>
          <cell r="B43" t="str">
            <v>eXtra 150 600X1200 BP/24 5</v>
          </cell>
          <cell r="C43" t="str">
            <v>PAROC eXtra Flexible Slab</v>
          </cell>
          <cell r="D43" t="str">
            <v>Flexible slabs &amp; mats</v>
          </cell>
          <cell r="E43">
            <v>86.4</v>
          </cell>
          <cell r="F43">
            <v>12.96</v>
          </cell>
          <cell r="G43" t="str">
            <v>m2</v>
          </cell>
          <cell r="H43">
            <v>3</v>
          </cell>
          <cell r="I43" t="str">
            <v>150 600X1200 BP/24 5</v>
          </cell>
          <cell r="J43" t="str">
            <v>BP/24 5</v>
          </cell>
          <cell r="K43" t="str">
            <v>EXL</v>
          </cell>
          <cell r="L43">
            <v>150</v>
          </cell>
          <cell r="M43">
            <v>600</v>
          </cell>
          <cell r="N43">
            <v>1200</v>
          </cell>
          <cell r="O43">
            <v>24</v>
          </cell>
          <cell r="P43">
            <v>5</v>
          </cell>
          <cell r="Q43">
            <v>362.88</v>
          </cell>
        </row>
        <row r="44">
          <cell r="A44">
            <v>8548754</v>
          </cell>
          <cell r="B44" t="str">
            <v>Linio 10 100 600X1200 PL/24 3</v>
          </cell>
          <cell r="C44" t="str">
            <v>PAROC Linio 10 Rendered Facade Slab</v>
          </cell>
          <cell r="D44" t="str">
            <v>Rendered facades</v>
          </cell>
          <cell r="E44">
            <v>51.84</v>
          </cell>
          <cell r="F44">
            <v>5.18</v>
          </cell>
          <cell r="G44" t="str">
            <v>m2</v>
          </cell>
          <cell r="H44">
            <v>3</v>
          </cell>
          <cell r="I44" t="str">
            <v>100 600X1200 PL/24 3</v>
          </cell>
          <cell r="J44" t="str">
            <v>PL/24 3</v>
          </cell>
          <cell r="K44" t="str">
            <v>HD</v>
          </cell>
          <cell r="L44">
            <v>100</v>
          </cell>
          <cell r="M44">
            <v>600</v>
          </cell>
          <cell r="N44">
            <v>1200</v>
          </cell>
          <cell r="O44">
            <v>24</v>
          </cell>
          <cell r="P44">
            <v>3</v>
          </cell>
          <cell r="Q44">
            <v>398.85999999999996</v>
          </cell>
        </row>
        <row r="45">
          <cell r="A45">
            <v>8550065</v>
          </cell>
          <cell r="B45" t="str">
            <v>WAS 35 50 600X1200 PL/24 6</v>
          </cell>
          <cell r="C45" t="str">
            <v>PAROC WAS 35 Wall Slab</v>
          </cell>
          <cell r="D45" t="str">
            <v>Wall slabs &amp; boards</v>
          </cell>
          <cell r="E45">
            <v>103.68</v>
          </cell>
          <cell r="F45">
            <v>5.18</v>
          </cell>
          <cell r="G45" t="str">
            <v>m2</v>
          </cell>
          <cell r="H45">
            <v>3</v>
          </cell>
          <cell r="I45" t="str">
            <v>50 600X1200 PL/24 6</v>
          </cell>
          <cell r="J45" t="str">
            <v>PL/24 6</v>
          </cell>
          <cell r="K45" t="str">
            <v>HD</v>
          </cell>
          <cell r="L45">
            <v>50</v>
          </cell>
          <cell r="M45">
            <v>600</v>
          </cell>
          <cell r="N45">
            <v>1200</v>
          </cell>
          <cell r="O45">
            <v>24</v>
          </cell>
          <cell r="P45">
            <v>6</v>
          </cell>
          <cell r="Q45">
            <v>362.59999999999997</v>
          </cell>
        </row>
        <row r="46">
          <cell r="A46">
            <v>8559794</v>
          </cell>
          <cell r="B46" t="str">
            <v>Linio 18 50 600X1200 PL/24 6</v>
          </cell>
          <cell r="C46" t="str">
            <v>PAROC Linio 18 Rendered Facade Slab</v>
          </cell>
          <cell r="D46" t="str">
            <v>Rendered facades</v>
          </cell>
          <cell r="E46">
            <v>103.68</v>
          </cell>
          <cell r="F46">
            <v>5.18</v>
          </cell>
          <cell r="G46" t="str">
            <v>m2</v>
          </cell>
          <cell r="H46">
            <v>3</v>
          </cell>
          <cell r="I46" t="str">
            <v>50 600X1200 PL/24 6</v>
          </cell>
          <cell r="J46" t="str">
            <v>PL/24 6</v>
          </cell>
          <cell r="K46" t="str">
            <v>HD</v>
          </cell>
          <cell r="L46">
            <v>50</v>
          </cell>
          <cell r="M46">
            <v>600</v>
          </cell>
          <cell r="N46">
            <v>1200</v>
          </cell>
          <cell r="O46">
            <v>24</v>
          </cell>
          <cell r="P46">
            <v>6</v>
          </cell>
          <cell r="Q46">
            <v>481.73999999999995</v>
          </cell>
        </row>
        <row r="47">
          <cell r="A47">
            <v>8565654</v>
          </cell>
          <cell r="B47" t="str">
            <v>eXtra Light 50 610X1220 BP/24 16</v>
          </cell>
          <cell r="C47" t="str">
            <v>PAROC eXtra Light Flexible slab</v>
          </cell>
          <cell r="D47" t="str">
            <v>Flexible slabs &amp; mats</v>
          </cell>
          <cell r="E47">
            <v>285.83999999999997</v>
          </cell>
          <cell r="F47">
            <v>14.29</v>
          </cell>
          <cell r="G47" t="str">
            <v>m2</v>
          </cell>
          <cell r="H47">
            <v>3</v>
          </cell>
          <cell r="I47" t="str">
            <v>50 610X1220 BP/24 16</v>
          </cell>
          <cell r="J47" t="str">
            <v>BP/24 16</v>
          </cell>
          <cell r="K47" t="str">
            <v>EXL</v>
          </cell>
          <cell r="L47">
            <v>50</v>
          </cell>
          <cell r="M47">
            <v>610</v>
          </cell>
          <cell r="N47">
            <v>1220</v>
          </cell>
          <cell r="O47">
            <v>24</v>
          </cell>
          <cell r="P47">
            <v>16</v>
          </cell>
          <cell r="Q47">
            <v>342.96</v>
          </cell>
        </row>
        <row r="48">
          <cell r="A48">
            <v>8551113</v>
          </cell>
          <cell r="B48" t="str">
            <v>WAS 35tb 150 600X1200 PL/24 2</v>
          </cell>
          <cell r="C48" t="str">
            <v>PAROC WAS 35tb Wall Slab</v>
          </cell>
          <cell r="D48" t="str">
            <v>Wall slabs &amp; boards</v>
          </cell>
          <cell r="E48">
            <v>34.56</v>
          </cell>
          <cell r="F48">
            <v>5.18</v>
          </cell>
          <cell r="G48" t="str">
            <v>m2</v>
          </cell>
          <cell r="H48">
            <v>4</v>
          </cell>
          <cell r="I48" t="str">
            <v>150 600X1200 PL/24 2</v>
          </cell>
          <cell r="J48" t="str">
            <v>PL/24 2</v>
          </cell>
          <cell r="K48" t="str">
            <v>HD</v>
          </cell>
          <cell r="L48">
            <v>150</v>
          </cell>
          <cell r="M48">
            <v>600</v>
          </cell>
          <cell r="N48">
            <v>1200</v>
          </cell>
          <cell r="O48">
            <v>24</v>
          </cell>
          <cell r="P48">
            <v>2</v>
          </cell>
          <cell r="Q48">
            <v>362.59999999999997</v>
          </cell>
        </row>
        <row r="49">
          <cell r="A49">
            <v>8556048</v>
          </cell>
          <cell r="B49" t="str">
            <v>Linio 80 200 200X1200 PL/60</v>
          </cell>
          <cell r="C49" t="str">
            <v>PAROC Linio 80 Facade Lamella</v>
          </cell>
          <cell r="D49" t="str">
            <v>Rendered facades</v>
          </cell>
          <cell r="E49">
            <v>14.4</v>
          </cell>
          <cell r="F49">
            <v>2.88</v>
          </cell>
          <cell r="G49" t="str">
            <v>m2</v>
          </cell>
          <cell r="H49">
            <v>4</v>
          </cell>
          <cell r="I49" t="str">
            <v>200 200X1200 PL/60</v>
          </cell>
          <cell r="J49" t="str">
            <v>PL/60</v>
          </cell>
          <cell r="K49" t="str">
            <v>HD</v>
          </cell>
          <cell r="L49">
            <v>200</v>
          </cell>
          <cell r="M49">
            <v>200</v>
          </cell>
          <cell r="N49">
            <v>1200</v>
          </cell>
          <cell r="O49">
            <v>60</v>
          </cell>
          <cell r="Q49">
            <v>224.64</v>
          </cell>
        </row>
        <row r="50">
          <cell r="A50">
            <v>8501028</v>
          </cell>
          <cell r="B50" t="str">
            <v>ROB 60 20 1200X1800 PL/54</v>
          </cell>
          <cell r="C50" t="str">
            <v>PAROC ROB 60 Roof Board</v>
          </cell>
          <cell r="D50" t="str">
            <v>Roof - Slabs and boards</v>
          </cell>
          <cell r="E50">
            <v>116.64</v>
          </cell>
          <cell r="F50">
            <v>2.33</v>
          </cell>
          <cell r="G50" t="str">
            <v>m2</v>
          </cell>
          <cell r="H50">
            <v>4</v>
          </cell>
          <cell r="I50" t="str">
            <v>20 1200X1800 PL/54</v>
          </cell>
          <cell r="J50" t="str">
            <v>PL/54</v>
          </cell>
          <cell r="K50" t="str">
            <v>HD</v>
          </cell>
          <cell r="L50">
            <v>20</v>
          </cell>
          <cell r="M50">
            <v>1200</v>
          </cell>
          <cell r="N50">
            <v>1800</v>
          </cell>
          <cell r="O50">
            <v>54</v>
          </cell>
          <cell r="Q50">
            <v>342.51</v>
          </cell>
        </row>
        <row r="51">
          <cell r="A51">
            <v>8500976</v>
          </cell>
          <cell r="B51" t="str">
            <v>ROS 50 40 1200X1800 PL/56</v>
          </cell>
          <cell r="C51" t="str">
            <v>PAROC ROS 50 Roof Slab</v>
          </cell>
          <cell r="D51" t="str">
            <v>Roof - Slabs and boards</v>
          </cell>
          <cell r="E51">
            <v>120.96</v>
          </cell>
          <cell r="F51">
            <v>4.84</v>
          </cell>
          <cell r="G51" t="str">
            <v>m2</v>
          </cell>
          <cell r="H51">
            <v>4</v>
          </cell>
          <cell r="I51" t="str">
            <v>40 1200X1800 PL/56</v>
          </cell>
          <cell r="J51" t="str">
            <v>PL/56</v>
          </cell>
          <cell r="K51" t="str">
            <v>HD</v>
          </cell>
          <cell r="L51">
            <v>40</v>
          </cell>
          <cell r="M51">
            <v>1200</v>
          </cell>
          <cell r="N51">
            <v>1800</v>
          </cell>
          <cell r="O51">
            <v>56</v>
          </cell>
          <cell r="Q51">
            <v>566.28</v>
          </cell>
        </row>
        <row r="52">
          <cell r="A52">
            <v>8500948</v>
          </cell>
          <cell r="B52" t="str">
            <v>ROS 30 150 1200X1800 PL/15</v>
          </cell>
          <cell r="C52" t="str">
            <v>PAROC ROS 30 Roof Slab</v>
          </cell>
          <cell r="D52" t="str">
            <v>Roof - Slabs and boards</v>
          </cell>
          <cell r="E52">
            <v>32.4</v>
          </cell>
          <cell r="F52">
            <v>4.8600000000000003</v>
          </cell>
          <cell r="G52" t="str">
            <v>m2</v>
          </cell>
          <cell r="H52">
            <v>4</v>
          </cell>
          <cell r="I52" t="str">
            <v>150 1200X1800 PL/15</v>
          </cell>
          <cell r="J52" t="str">
            <v>PL/15</v>
          </cell>
          <cell r="K52" t="str">
            <v>HD</v>
          </cell>
          <cell r="L52">
            <v>150</v>
          </cell>
          <cell r="M52">
            <v>1200</v>
          </cell>
          <cell r="N52">
            <v>1800</v>
          </cell>
          <cell r="O52">
            <v>15</v>
          </cell>
          <cell r="Q52">
            <v>413.1</v>
          </cell>
        </row>
        <row r="53">
          <cell r="A53">
            <v>8501211</v>
          </cell>
          <cell r="B53" t="str">
            <v>ROB 80t 20 1800X1200 PL/54</v>
          </cell>
          <cell r="C53" t="str">
            <v>PAROC ROB 80t Roof Board</v>
          </cell>
          <cell r="D53" t="str">
            <v>Roof - Slabs and boards</v>
          </cell>
          <cell r="E53">
            <v>116.64</v>
          </cell>
          <cell r="F53">
            <v>2.33</v>
          </cell>
          <cell r="G53" t="str">
            <v>m2</v>
          </cell>
          <cell r="H53">
            <v>4</v>
          </cell>
          <cell r="I53" t="str">
            <v>20 1800X1200 PL/54</v>
          </cell>
          <cell r="J53" t="str">
            <v>PL/54</v>
          </cell>
          <cell r="K53" t="str">
            <v>HD</v>
          </cell>
          <cell r="L53">
            <v>20</v>
          </cell>
          <cell r="M53">
            <v>1800</v>
          </cell>
          <cell r="N53">
            <v>1200</v>
          </cell>
          <cell r="O53">
            <v>54</v>
          </cell>
          <cell r="Q53">
            <v>407.75</v>
          </cell>
        </row>
        <row r="54">
          <cell r="A54">
            <v>8509179</v>
          </cell>
          <cell r="B54" t="str">
            <v>ROS 30 90 1200X1800 PL/25</v>
          </cell>
          <cell r="C54" t="str">
            <v>PAROC ROS 30 Roof Slab</v>
          </cell>
          <cell r="D54" t="str">
            <v>Roof - Slabs and boards</v>
          </cell>
          <cell r="E54">
            <v>54</v>
          </cell>
          <cell r="F54">
            <v>4.8600000000000003</v>
          </cell>
          <cell r="G54" t="str">
            <v>m2</v>
          </cell>
          <cell r="H54">
            <v>4</v>
          </cell>
          <cell r="I54" t="str">
            <v>90 1200X1800 PL/25</v>
          </cell>
          <cell r="J54" t="str">
            <v>PL/25</v>
          </cell>
          <cell r="K54" t="str">
            <v>HD</v>
          </cell>
          <cell r="L54">
            <v>90</v>
          </cell>
          <cell r="M54">
            <v>1200</v>
          </cell>
          <cell r="N54">
            <v>1800</v>
          </cell>
          <cell r="O54">
            <v>25</v>
          </cell>
          <cell r="Q54">
            <v>413.1</v>
          </cell>
        </row>
        <row r="55">
          <cell r="A55">
            <v>8526535</v>
          </cell>
          <cell r="B55" t="str">
            <v>FPS 17 20 1200X1800 PL/54</v>
          </cell>
          <cell r="C55" t="str">
            <v>PAROC FPS 17 Fire Protection Slab</v>
          </cell>
          <cell r="D55" t="str">
            <v>Fire protection</v>
          </cell>
          <cell r="E55">
            <v>116.64</v>
          </cell>
          <cell r="F55">
            <v>2.33</v>
          </cell>
          <cell r="G55" t="str">
            <v>m2</v>
          </cell>
          <cell r="H55">
            <v>4</v>
          </cell>
          <cell r="I55" t="str">
            <v>20 1200X1800 PL/54</v>
          </cell>
          <cell r="J55" t="str">
            <v>PL/54</v>
          </cell>
          <cell r="K55" t="str">
            <v>HD</v>
          </cell>
          <cell r="L55">
            <v>20</v>
          </cell>
          <cell r="M55">
            <v>1200</v>
          </cell>
          <cell r="N55">
            <v>1800</v>
          </cell>
          <cell r="O55">
            <v>54</v>
          </cell>
          <cell r="Q55">
            <v>396.1</v>
          </cell>
        </row>
        <row r="56">
          <cell r="A56">
            <v>8509177</v>
          </cell>
          <cell r="B56" t="str">
            <v>ROS 30 180 1200X1800 PL/12</v>
          </cell>
          <cell r="C56" t="str">
            <v>PAROC ROS 30 Roof Slab</v>
          </cell>
          <cell r="D56" t="str">
            <v>Roof - Slabs and boards</v>
          </cell>
          <cell r="E56">
            <v>25.92</v>
          </cell>
          <cell r="F56">
            <v>4.67</v>
          </cell>
          <cell r="G56" t="str">
            <v>m2</v>
          </cell>
          <cell r="H56">
            <v>4</v>
          </cell>
          <cell r="I56" t="str">
            <v>180 1200X1800 PL/12</v>
          </cell>
          <cell r="J56" t="str">
            <v>PL/12</v>
          </cell>
          <cell r="K56" t="str">
            <v>HD</v>
          </cell>
          <cell r="L56">
            <v>180</v>
          </cell>
          <cell r="M56">
            <v>1200</v>
          </cell>
          <cell r="N56">
            <v>1800</v>
          </cell>
          <cell r="O56">
            <v>12</v>
          </cell>
          <cell r="Q56">
            <v>396.95</v>
          </cell>
        </row>
        <row r="57">
          <cell r="A57">
            <v>8527750</v>
          </cell>
          <cell r="B57" t="str">
            <v>WAS 35 90 600X1200 PL/18 4</v>
          </cell>
          <cell r="C57" t="str">
            <v>PAROC WAS 35 Wall Slab</v>
          </cell>
          <cell r="D57" t="str">
            <v>Wall slabs &amp; boards</v>
          </cell>
          <cell r="E57">
            <v>51.84</v>
          </cell>
          <cell r="F57">
            <v>4.67</v>
          </cell>
          <cell r="G57" t="str">
            <v>m2</v>
          </cell>
          <cell r="H57">
            <v>4</v>
          </cell>
          <cell r="I57" t="str">
            <v>90 600X1200 PL/18 4</v>
          </cell>
          <cell r="J57" t="str">
            <v>PL/18 4</v>
          </cell>
          <cell r="K57" t="str">
            <v>HD</v>
          </cell>
          <cell r="L57">
            <v>90</v>
          </cell>
          <cell r="M57">
            <v>600</v>
          </cell>
          <cell r="N57">
            <v>1200</v>
          </cell>
          <cell r="O57">
            <v>18</v>
          </cell>
          <cell r="P57">
            <v>4</v>
          </cell>
          <cell r="Q57">
            <v>326.89999999999998</v>
          </cell>
        </row>
        <row r="58">
          <cell r="A58">
            <v>8543279</v>
          </cell>
          <cell r="B58" t="str">
            <v>eXtra 90 610X1220 BP/24 8</v>
          </cell>
          <cell r="C58" t="str">
            <v>PAROC eXtra Flexible Slab</v>
          </cell>
          <cell r="D58" t="str">
            <v>Flexible slabs &amp; mats</v>
          </cell>
          <cell r="E58">
            <v>142.80000000000001</v>
          </cell>
          <cell r="F58">
            <v>12.86</v>
          </cell>
          <cell r="G58" t="str">
            <v>m2</v>
          </cell>
          <cell r="H58">
            <v>4</v>
          </cell>
          <cell r="I58" t="str">
            <v>90 610X1220 BP/24 8</v>
          </cell>
          <cell r="J58" t="str">
            <v>BP/24 8</v>
          </cell>
          <cell r="K58" t="str">
            <v>EXL</v>
          </cell>
          <cell r="L58">
            <v>90</v>
          </cell>
          <cell r="M58">
            <v>610</v>
          </cell>
          <cell r="N58">
            <v>1220</v>
          </cell>
          <cell r="O58">
            <v>24</v>
          </cell>
          <cell r="P58">
            <v>8</v>
          </cell>
          <cell r="Q58">
            <v>360.08</v>
          </cell>
        </row>
        <row r="59">
          <cell r="A59">
            <v>8551147</v>
          </cell>
          <cell r="B59" t="str">
            <v>Linio 20 150 600X1200 PL/24 2</v>
          </cell>
          <cell r="C59" t="str">
            <v>PAROC Linio 20 Rendered Facade Slab</v>
          </cell>
          <cell r="D59" t="str">
            <v>Rendered facades</v>
          </cell>
          <cell r="E59">
            <v>34.56</v>
          </cell>
          <cell r="F59">
            <v>5.18</v>
          </cell>
          <cell r="G59" t="str">
            <v>m2</v>
          </cell>
          <cell r="H59">
            <v>4</v>
          </cell>
          <cell r="I59" t="str">
            <v>150 600X1200 PL/24 2</v>
          </cell>
          <cell r="J59" t="str">
            <v>PL/24 2</v>
          </cell>
          <cell r="K59" t="str">
            <v>HD</v>
          </cell>
          <cell r="L59">
            <v>150</v>
          </cell>
          <cell r="M59">
            <v>600</v>
          </cell>
          <cell r="N59">
            <v>1200</v>
          </cell>
          <cell r="O59">
            <v>24</v>
          </cell>
          <cell r="P59">
            <v>2</v>
          </cell>
          <cell r="Q59">
            <v>569.79999999999995</v>
          </cell>
        </row>
        <row r="60">
          <cell r="A60">
            <v>8550106</v>
          </cell>
          <cell r="B60" t="str">
            <v>WAS 25t 30 600X1200 PL/24 10</v>
          </cell>
          <cell r="C60" t="str">
            <v>PAROC WAS 25t Wall Slab</v>
          </cell>
          <cell r="D60" t="str">
            <v>Wall slabs &amp; boards</v>
          </cell>
          <cell r="E60">
            <v>172.8</v>
          </cell>
          <cell r="F60">
            <v>5.18</v>
          </cell>
          <cell r="G60" t="str">
            <v>m2</v>
          </cell>
          <cell r="H60">
            <v>4</v>
          </cell>
          <cell r="I60" t="str">
            <v>30 600X1200 PL/24 10</v>
          </cell>
          <cell r="J60" t="str">
            <v>PL/24 10</v>
          </cell>
          <cell r="K60" t="str">
            <v>HD</v>
          </cell>
          <cell r="L60">
            <v>30</v>
          </cell>
          <cell r="M60">
            <v>600</v>
          </cell>
          <cell r="N60">
            <v>1200</v>
          </cell>
          <cell r="O60">
            <v>24</v>
          </cell>
          <cell r="P60">
            <v>10</v>
          </cell>
          <cell r="Q60">
            <v>414.4</v>
          </cell>
        </row>
        <row r="61">
          <cell r="A61">
            <v>8551679</v>
          </cell>
          <cell r="B61" t="str">
            <v>WAS 25 120 600X1200 PL/15 4</v>
          </cell>
          <cell r="C61" t="str">
            <v>PAROC WAS 25 Wall Slab</v>
          </cell>
          <cell r="D61" t="str">
            <v>Wall slabs &amp; boards</v>
          </cell>
          <cell r="E61">
            <v>43.2</v>
          </cell>
          <cell r="F61">
            <v>5.18</v>
          </cell>
          <cell r="G61" t="str">
            <v>m2</v>
          </cell>
          <cell r="H61">
            <v>4</v>
          </cell>
          <cell r="I61" t="str">
            <v>120 600X1200 PL/15 4</v>
          </cell>
          <cell r="J61" t="str">
            <v>PL/15 4</v>
          </cell>
          <cell r="K61" t="str">
            <v>HD</v>
          </cell>
          <cell r="L61">
            <v>120</v>
          </cell>
          <cell r="M61">
            <v>600</v>
          </cell>
          <cell r="N61">
            <v>1200</v>
          </cell>
          <cell r="O61">
            <v>15</v>
          </cell>
          <cell r="P61">
            <v>4</v>
          </cell>
          <cell r="Q61">
            <v>414.4</v>
          </cell>
        </row>
        <row r="62">
          <cell r="A62">
            <v>8551996</v>
          </cell>
          <cell r="B62" t="str">
            <v>eXtra 140 600X1200 BP/24 5</v>
          </cell>
          <cell r="C62" t="str">
            <v>PAROC eXtra Flexible Slab</v>
          </cell>
          <cell r="D62" t="str">
            <v>Flexible slabs &amp; mats</v>
          </cell>
          <cell r="E62">
            <v>86.4</v>
          </cell>
          <cell r="F62">
            <v>12.1</v>
          </cell>
          <cell r="G62" t="str">
            <v>m2</v>
          </cell>
          <cell r="H62">
            <v>4</v>
          </cell>
          <cell r="I62" t="str">
            <v>140 600X1200 BP/24 5</v>
          </cell>
          <cell r="J62" t="str">
            <v>BP/24 5</v>
          </cell>
          <cell r="K62" t="str">
            <v>EXL</v>
          </cell>
          <cell r="L62">
            <v>140</v>
          </cell>
          <cell r="M62">
            <v>600</v>
          </cell>
          <cell r="N62">
            <v>1200</v>
          </cell>
          <cell r="O62">
            <v>24</v>
          </cell>
          <cell r="P62">
            <v>5</v>
          </cell>
          <cell r="Q62">
            <v>338.8</v>
          </cell>
        </row>
        <row r="63">
          <cell r="A63">
            <v>8548757</v>
          </cell>
          <cell r="B63" t="str">
            <v>Linio 10 110 600X1200 PL/21 3</v>
          </cell>
          <cell r="C63" t="str">
            <v>PAROC Linio 10 Rendered Facade Slab</v>
          </cell>
          <cell r="D63" t="str">
            <v>Rendered facades</v>
          </cell>
          <cell r="E63">
            <v>45.36</v>
          </cell>
          <cell r="F63">
            <v>4.99</v>
          </cell>
          <cell r="G63" t="str">
            <v>m2</v>
          </cell>
          <cell r="H63">
            <v>4</v>
          </cell>
          <cell r="I63" t="str">
            <v>110 600X1200 PL/21 3</v>
          </cell>
          <cell r="J63" t="str">
            <v>PL/21 3</v>
          </cell>
          <cell r="K63" t="str">
            <v>HD</v>
          </cell>
          <cell r="L63">
            <v>110</v>
          </cell>
          <cell r="M63">
            <v>600</v>
          </cell>
          <cell r="N63">
            <v>1200</v>
          </cell>
          <cell r="O63">
            <v>21</v>
          </cell>
          <cell r="P63">
            <v>3</v>
          </cell>
          <cell r="Q63">
            <v>384.23</v>
          </cell>
        </row>
        <row r="64">
          <cell r="A64">
            <v>8555084</v>
          </cell>
          <cell r="B64" t="str">
            <v>eXtra Smart 100 565X1220 BP/32 5</v>
          </cell>
          <cell r="C64" t="str">
            <v>PAROC eXtra Smart</v>
          </cell>
          <cell r="D64" t="str">
            <v>Flexible slabs &amp; mats</v>
          </cell>
          <cell r="E64">
            <v>110.4</v>
          </cell>
          <cell r="F64">
            <v>11.03</v>
          </cell>
          <cell r="G64" t="str">
            <v>m2</v>
          </cell>
          <cell r="H64">
            <v>4</v>
          </cell>
          <cell r="I64" t="str">
            <v>100 565X1220 BP/32 5</v>
          </cell>
          <cell r="J64" t="str">
            <v>BP/32 5</v>
          </cell>
          <cell r="K64" t="str">
            <v>LD</v>
          </cell>
          <cell r="L64">
            <v>100</v>
          </cell>
          <cell r="M64">
            <v>565</v>
          </cell>
          <cell r="N64">
            <v>1220</v>
          </cell>
          <cell r="O64">
            <v>32</v>
          </cell>
          <cell r="P64">
            <v>5</v>
          </cell>
          <cell r="Q64">
            <v>330.9</v>
          </cell>
        </row>
        <row r="65">
          <cell r="A65">
            <v>8548889</v>
          </cell>
          <cell r="B65" t="str">
            <v>Linio 15 160 600X1200 PL/21 2</v>
          </cell>
          <cell r="C65" t="str">
            <v>PAROC Linio 15 Rendered Facade Slab</v>
          </cell>
          <cell r="D65" t="str">
            <v>Rendered facades</v>
          </cell>
          <cell r="E65">
            <v>30.24</v>
          </cell>
          <cell r="F65">
            <v>4.84</v>
          </cell>
          <cell r="G65" t="str">
            <v>m2</v>
          </cell>
          <cell r="H65">
            <v>4</v>
          </cell>
          <cell r="I65" t="str">
            <v>160 600X1200 PL/21 2</v>
          </cell>
          <cell r="J65" t="str">
            <v>PL/21 2</v>
          </cell>
          <cell r="K65" t="str">
            <v>HD</v>
          </cell>
          <cell r="L65">
            <v>160</v>
          </cell>
          <cell r="M65">
            <v>600</v>
          </cell>
          <cell r="N65">
            <v>1200</v>
          </cell>
          <cell r="O65">
            <v>21</v>
          </cell>
          <cell r="P65">
            <v>2</v>
          </cell>
          <cell r="Q65">
            <v>421.08</v>
          </cell>
        </row>
        <row r="66">
          <cell r="A66">
            <v>8500814</v>
          </cell>
          <cell r="B66" t="str">
            <v>ROS 40 150 1200X1800 PL/15</v>
          </cell>
          <cell r="C66" t="str">
            <v>PAROC ROS 40 Roof Slab</v>
          </cell>
          <cell r="D66" t="str">
            <v>Roof - Slabs and boards</v>
          </cell>
          <cell r="E66">
            <v>32.4</v>
          </cell>
          <cell r="F66">
            <v>4.8600000000000003</v>
          </cell>
          <cell r="G66" t="str">
            <v>m2</v>
          </cell>
          <cell r="H66">
            <v>4</v>
          </cell>
          <cell r="I66" t="str">
            <v>150 1200X1800 PL/15</v>
          </cell>
          <cell r="J66" t="str">
            <v>PL/15</v>
          </cell>
          <cell r="K66" t="str">
            <v>HD</v>
          </cell>
          <cell r="L66">
            <v>150</v>
          </cell>
          <cell r="M66">
            <v>1200</v>
          </cell>
          <cell r="N66">
            <v>1800</v>
          </cell>
          <cell r="O66">
            <v>15</v>
          </cell>
          <cell r="Q66">
            <v>466.56000000000006</v>
          </cell>
        </row>
        <row r="67">
          <cell r="A67">
            <v>8529332</v>
          </cell>
          <cell r="B67" t="str">
            <v>ROS 60 50 600X1200 PL/33 4</v>
          </cell>
          <cell r="C67" t="str">
            <v>PAROC ROS 60 Roof Slab</v>
          </cell>
          <cell r="D67" t="str">
            <v>Roof - Slabs and boards</v>
          </cell>
          <cell r="E67">
            <v>95.04</v>
          </cell>
          <cell r="F67">
            <v>4.75</v>
          </cell>
          <cell r="G67" t="str">
            <v>m2</v>
          </cell>
          <cell r="H67">
            <v>4</v>
          </cell>
          <cell r="I67" t="str">
            <v>50 600X1200 PL/33 4</v>
          </cell>
          <cell r="J67" t="str">
            <v>PL/33 4</v>
          </cell>
          <cell r="K67" t="str">
            <v>HD</v>
          </cell>
          <cell r="L67">
            <v>50</v>
          </cell>
          <cell r="M67">
            <v>600</v>
          </cell>
          <cell r="N67">
            <v>1200</v>
          </cell>
          <cell r="O67">
            <v>33</v>
          </cell>
          <cell r="P67">
            <v>4</v>
          </cell>
          <cell r="Q67">
            <v>570</v>
          </cell>
        </row>
        <row r="68">
          <cell r="A68">
            <v>8523582</v>
          </cell>
          <cell r="B68" t="str">
            <v>WAS 25 80 600X1200 PL/21 4</v>
          </cell>
          <cell r="C68" t="str">
            <v>PAROC WAS 25 Wall Slab</v>
          </cell>
          <cell r="D68" t="str">
            <v>Wall slabs &amp; boards</v>
          </cell>
          <cell r="E68">
            <v>60.48</v>
          </cell>
          <cell r="F68">
            <v>4.84</v>
          </cell>
          <cell r="G68" t="str">
            <v>m2</v>
          </cell>
          <cell r="H68">
            <v>4</v>
          </cell>
          <cell r="I68" t="str">
            <v>80 600X1200 PL/21 4</v>
          </cell>
          <cell r="J68" t="str">
            <v>PL/21 4</v>
          </cell>
          <cell r="K68" t="str">
            <v>HD</v>
          </cell>
          <cell r="L68">
            <v>80</v>
          </cell>
          <cell r="M68">
            <v>600</v>
          </cell>
          <cell r="N68">
            <v>1200</v>
          </cell>
          <cell r="O68">
            <v>21</v>
          </cell>
          <cell r="P68">
            <v>4</v>
          </cell>
          <cell r="Q68">
            <v>387.2</v>
          </cell>
        </row>
        <row r="69">
          <cell r="A69">
            <v>8508709</v>
          </cell>
          <cell r="B69" t="str">
            <v>ROS 40 70 1200X1800 PL/32</v>
          </cell>
          <cell r="C69" t="str">
            <v>PAROC ROS 40 Roof Slab</v>
          </cell>
          <cell r="D69" t="str">
            <v>Roof - Slabs and boards</v>
          </cell>
          <cell r="E69">
            <v>69.12</v>
          </cell>
          <cell r="F69">
            <v>4.84</v>
          </cell>
          <cell r="G69" t="str">
            <v>m2</v>
          </cell>
          <cell r="H69">
            <v>4</v>
          </cell>
          <cell r="I69" t="str">
            <v>70 1200X1800 PL/32</v>
          </cell>
          <cell r="J69" t="str">
            <v>PL/32</v>
          </cell>
          <cell r="K69" t="str">
            <v>HD</v>
          </cell>
          <cell r="L69">
            <v>70</v>
          </cell>
          <cell r="M69">
            <v>1200</v>
          </cell>
          <cell r="N69">
            <v>1800</v>
          </cell>
          <cell r="O69">
            <v>32</v>
          </cell>
          <cell r="Q69">
            <v>464.64</v>
          </cell>
        </row>
        <row r="70">
          <cell r="A70">
            <v>8515328</v>
          </cell>
          <cell r="B70" t="str">
            <v>WAS 35 40 600X1200 PL/21 8</v>
          </cell>
          <cell r="C70" t="str">
            <v>PAROC WAS 35 Wall Slab</v>
          </cell>
          <cell r="D70" t="str">
            <v>Wall slabs &amp; boards</v>
          </cell>
          <cell r="E70">
            <v>120.96</v>
          </cell>
          <cell r="F70">
            <v>4.84</v>
          </cell>
          <cell r="G70" t="str">
            <v>m2</v>
          </cell>
          <cell r="H70">
            <v>4</v>
          </cell>
          <cell r="I70" t="str">
            <v>40 600X1200 PL/21 8</v>
          </cell>
          <cell r="J70" t="str">
            <v>PL/21 8</v>
          </cell>
          <cell r="K70" t="str">
            <v>HD</v>
          </cell>
          <cell r="L70">
            <v>40</v>
          </cell>
          <cell r="M70">
            <v>600</v>
          </cell>
          <cell r="N70">
            <v>1200</v>
          </cell>
          <cell r="O70">
            <v>21</v>
          </cell>
          <cell r="P70">
            <v>8</v>
          </cell>
          <cell r="Q70">
            <v>338.8</v>
          </cell>
        </row>
        <row r="71">
          <cell r="A71">
            <v>8542824</v>
          </cell>
          <cell r="B71" t="str">
            <v>WAS 50t 50 600X1200 BP/16 10</v>
          </cell>
          <cell r="C71" t="str">
            <v>PAROC WAS 50t Wall Slab</v>
          </cell>
          <cell r="D71" t="str">
            <v>Wall slabs &amp; boards</v>
          </cell>
          <cell r="E71">
            <v>115.2</v>
          </cell>
          <cell r="F71">
            <v>5.76</v>
          </cell>
          <cell r="G71" t="str">
            <v>m2</v>
          </cell>
          <cell r="H71">
            <v>4</v>
          </cell>
          <cell r="I71" t="str">
            <v>50 600X1200 BP/16 10</v>
          </cell>
          <cell r="J71" t="str">
            <v>BP/16 10</v>
          </cell>
          <cell r="K71" t="str">
            <v>HD</v>
          </cell>
          <cell r="L71">
            <v>50</v>
          </cell>
          <cell r="M71">
            <v>600</v>
          </cell>
          <cell r="N71">
            <v>1200</v>
          </cell>
          <cell r="O71">
            <v>16</v>
          </cell>
          <cell r="P71">
            <v>10</v>
          </cell>
          <cell r="Q71">
            <v>259.2</v>
          </cell>
        </row>
        <row r="72">
          <cell r="A72">
            <v>8509611</v>
          </cell>
          <cell r="B72" t="str">
            <v>ROB 60t 20 1200X1800 PL/112</v>
          </cell>
          <cell r="C72" t="str">
            <v>PAROC ROB 60t Roof Board</v>
          </cell>
          <cell r="D72" t="str">
            <v>Roof - Slabs and boards</v>
          </cell>
          <cell r="E72">
            <v>241.92</v>
          </cell>
          <cell r="F72">
            <v>4.84</v>
          </cell>
          <cell r="G72" t="str">
            <v>m2</v>
          </cell>
          <cell r="H72">
            <v>4</v>
          </cell>
          <cell r="I72" t="str">
            <v>20 1200X1800 PL/112</v>
          </cell>
          <cell r="J72" t="str">
            <v>PL/112</v>
          </cell>
          <cell r="K72" t="str">
            <v>HD</v>
          </cell>
          <cell r="L72">
            <v>20</v>
          </cell>
          <cell r="M72">
            <v>1200</v>
          </cell>
          <cell r="N72">
            <v>1800</v>
          </cell>
          <cell r="O72">
            <v>112</v>
          </cell>
          <cell r="Q72">
            <v>711.48</v>
          </cell>
        </row>
        <row r="73">
          <cell r="A73">
            <v>8524413</v>
          </cell>
          <cell r="B73" t="str">
            <v>WAS 35 140 600X1200 PL/24 2</v>
          </cell>
          <cell r="C73" t="str">
            <v>PAROC WAS 35 Wall Slab</v>
          </cell>
          <cell r="D73" t="str">
            <v>Wall slabs &amp; boards</v>
          </cell>
          <cell r="E73">
            <v>34.56</v>
          </cell>
          <cell r="F73">
            <v>4.84</v>
          </cell>
          <cell r="G73" t="str">
            <v>m2</v>
          </cell>
          <cell r="H73">
            <v>4</v>
          </cell>
          <cell r="I73" t="str">
            <v>140 600X1200 PL/24 2</v>
          </cell>
          <cell r="J73" t="str">
            <v>PL/24 2</v>
          </cell>
          <cell r="K73" t="str">
            <v>HD</v>
          </cell>
          <cell r="L73">
            <v>140</v>
          </cell>
          <cell r="M73">
            <v>600</v>
          </cell>
          <cell r="N73">
            <v>1200</v>
          </cell>
          <cell r="O73">
            <v>24</v>
          </cell>
          <cell r="P73">
            <v>2</v>
          </cell>
          <cell r="Q73">
            <v>338.8</v>
          </cell>
        </row>
        <row r="74">
          <cell r="A74">
            <v>8519008</v>
          </cell>
          <cell r="B74" t="str">
            <v>ROS 50 80 1200X1800 PL/28</v>
          </cell>
          <cell r="C74" t="str">
            <v>PAROC ROS 50 Roof Slab</v>
          </cell>
          <cell r="D74" t="str">
            <v>Roof - Slabs and boards</v>
          </cell>
          <cell r="E74">
            <v>60.48</v>
          </cell>
          <cell r="F74">
            <v>4.84</v>
          </cell>
          <cell r="G74" t="str">
            <v>m2</v>
          </cell>
          <cell r="H74">
            <v>4</v>
          </cell>
          <cell r="I74" t="str">
            <v>80 1200X1800 PL/28</v>
          </cell>
          <cell r="J74" t="str">
            <v>PL/28</v>
          </cell>
          <cell r="K74" t="str">
            <v>HD</v>
          </cell>
          <cell r="L74">
            <v>80</v>
          </cell>
          <cell r="M74">
            <v>1200</v>
          </cell>
          <cell r="N74">
            <v>1800</v>
          </cell>
          <cell r="O74">
            <v>28</v>
          </cell>
          <cell r="Q74">
            <v>566.28</v>
          </cell>
        </row>
        <row r="75">
          <cell r="A75">
            <v>8553782</v>
          </cell>
          <cell r="B75" t="str">
            <v>Linio 20 140 600X1200 PL/24 2</v>
          </cell>
          <cell r="C75" t="str">
            <v>PAROC Linio 20 Rendered Facade Slab</v>
          </cell>
          <cell r="D75" t="str">
            <v>Rendered facades</v>
          </cell>
          <cell r="E75">
            <v>34.56</v>
          </cell>
          <cell r="F75">
            <v>4.84</v>
          </cell>
          <cell r="G75" t="str">
            <v>m2</v>
          </cell>
          <cell r="H75">
            <v>4</v>
          </cell>
          <cell r="I75" t="str">
            <v>140 600X1200 PL/24 2</v>
          </cell>
          <cell r="J75" t="str">
            <v>PL/24 2</v>
          </cell>
          <cell r="K75" t="str">
            <v>HD</v>
          </cell>
          <cell r="L75">
            <v>140</v>
          </cell>
          <cell r="M75">
            <v>600</v>
          </cell>
          <cell r="N75">
            <v>1200</v>
          </cell>
          <cell r="O75">
            <v>24</v>
          </cell>
          <cell r="P75">
            <v>2</v>
          </cell>
          <cell r="Q75">
            <v>532.4</v>
          </cell>
        </row>
        <row r="76">
          <cell r="A76">
            <v>8554071</v>
          </cell>
          <cell r="B76" t="str">
            <v>eXtra plus 100 600X1200 BP/16 6</v>
          </cell>
          <cell r="C76" t="str">
            <v>PAROC eXtra plus Flexible slab</v>
          </cell>
          <cell r="D76" t="str">
            <v>Flexible slabs &amp; mats</v>
          </cell>
          <cell r="E76">
            <v>69.12</v>
          </cell>
          <cell r="F76">
            <v>6.91</v>
          </cell>
          <cell r="G76" t="str">
            <v>m2</v>
          </cell>
          <cell r="H76">
            <v>4</v>
          </cell>
          <cell r="I76" t="str">
            <v>100 600X1200 BP/16 6</v>
          </cell>
          <cell r="J76" t="str">
            <v>BP/16 6</v>
          </cell>
          <cell r="K76" t="str">
            <v>MD</v>
          </cell>
          <cell r="L76">
            <v>100</v>
          </cell>
          <cell r="M76">
            <v>600</v>
          </cell>
          <cell r="N76">
            <v>1200</v>
          </cell>
          <cell r="O76">
            <v>16</v>
          </cell>
          <cell r="P76">
            <v>6</v>
          </cell>
          <cell r="Q76">
            <v>276.39999999999998</v>
          </cell>
        </row>
        <row r="77">
          <cell r="A77">
            <v>8535367</v>
          </cell>
          <cell r="B77" t="str">
            <v>ROS 40 40 1200X1800 PL/56</v>
          </cell>
          <cell r="C77" t="str">
            <v>PAROC ROS 40 Roof Slab</v>
          </cell>
          <cell r="D77" t="str">
            <v>Roof - Slabs and boards</v>
          </cell>
          <cell r="E77">
            <v>120.96</v>
          </cell>
          <cell r="F77">
            <v>4.84</v>
          </cell>
          <cell r="G77" t="str">
            <v>m2</v>
          </cell>
          <cell r="H77">
            <v>4</v>
          </cell>
          <cell r="I77" t="str">
            <v>40 1200X1800 PL/56</v>
          </cell>
          <cell r="J77" t="str">
            <v>PL/56</v>
          </cell>
          <cell r="K77" t="str">
            <v>HD</v>
          </cell>
          <cell r="L77">
            <v>40</v>
          </cell>
          <cell r="M77">
            <v>1200</v>
          </cell>
          <cell r="N77">
            <v>1800</v>
          </cell>
          <cell r="O77">
            <v>56</v>
          </cell>
          <cell r="Q77">
            <v>464.64</v>
          </cell>
        </row>
        <row r="78">
          <cell r="A78">
            <v>8551181</v>
          </cell>
          <cell r="B78" t="str">
            <v>WAS 25 100 600X1200 PL/18 4</v>
          </cell>
          <cell r="C78" t="str">
            <v>PAROC WAS 25 Wall Slab</v>
          </cell>
          <cell r="D78" t="str">
            <v>Wall slabs &amp; boards</v>
          </cell>
          <cell r="E78">
            <v>51.84</v>
          </cell>
          <cell r="F78">
            <v>5.18</v>
          </cell>
          <cell r="G78" t="str">
            <v>m2</v>
          </cell>
          <cell r="H78">
            <v>4</v>
          </cell>
          <cell r="I78" t="str">
            <v>100 600X1200 PL/18 4</v>
          </cell>
          <cell r="J78" t="str">
            <v>PL/18 4</v>
          </cell>
          <cell r="K78" t="str">
            <v>HD</v>
          </cell>
          <cell r="L78">
            <v>100</v>
          </cell>
          <cell r="M78">
            <v>600</v>
          </cell>
          <cell r="N78">
            <v>1200</v>
          </cell>
          <cell r="O78">
            <v>18</v>
          </cell>
          <cell r="P78">
            <v>4</v>
          </cell>
          <cell r="Q78">
            <v>414.4</v>
          </cell>
        </row>
        <row r="79">
          <cell r="A79">
            <v>8538670</v>
          </cell>
          <cell r="B79" t="str">
            <v>eXtra plus 100 610X1220 BP/16 6</v>
          </cell>
          <cell r="C79" t="str">
            <v>PAROC eXtra plus Flexible slab</v>
          </cell>
          <cell r="D79" t="str">
            <v>Flexible slabs &amp; mats</v>
          </cell>
          <cell r="E79">
            <v>71.52</v>
          </cell>
          <cell r="F79">
            <v>7.14</v>
          </cell>
          <cell r="G79" t="str">
            <v>m2</v>
          </cell>
          <cell r="H79">
            <v>4</v>
          </cell>
          <cell r="I79" t="str">
            <v>100 610X1220 BP/16 6</v>
          </cell>
          <cell r="J79" t="str">
            <v>BP/16 6</v>
          </cell>
          <cell r="K79" t="str">
            <v>MD</v>
          </cell>
          <cell r="L79">
            <v>100</v>
          </cell>
          <cell r="M79">
            <v>610</v>
          </cell>
          <cell r="N79">
            <v>1220</v>
          </cell>
          <cell r="O79">
            <v>16</v>
          </cell>
          <cell r="P79">
            <v>6</v>
          </cell>
          <cell r="Q79">
            <v>285.59999999999997</v>
          </cell>
        </row>
        <row r="80">
          <cell r="A80">
            <v>8545513</v>
          </cell>
          <cell r="B80" t="str">
            <v>FPS 17 40 600X1200 PL/33 5</v>
          </cell>
          <cell r="C80" t="str">
            <v>PAROC FPS 17 Fire Protection Slab</v>
          </cell>
          <cell r="D80" t="str">
            <v>Fire protection</v>
          </cell>
          <cell r="E80">
            <v>118.8</v>
          </cell>
          <cell r="F80">
            <v>4.75</v>
          </cell>
          <cell r="G80" t="str">
            <v>m2</v>
          </cell>
          <cell r="H80">
            <v>4</v>
          </cell>
          <cell r="I80" t="str">
            <v>40 600X1200 PL/33 5</v>
          </cell>
          <cell r="J80" t="str">
            <v>PL/33 5</v>
          </cell>
          <cell r="K80" t="str">
            <v>HD</v>
          </cell>
          <cell r="L80">
            <v>40</v>
          </cell>
          <cell r="M80">
            <v>600</v>
          </cell>
          <cell r="N80">
            <v>1200</v>
          </cell>
          <cell r="O80">
            <v>33</v>
          </cell>
          <cell r="P80">
            <v>5</v>
          </cell>
          <cell r="Q80">
            <v>807.5</v>
          </cell>
        </row>
        <row r="81">
          <cell r="A81">
            <v>8555918</v>
          </cell>
          <cell r="B81" t="str">
            <v>InWall 150 600X1200 BP/16 4</v>
          </cell>
          <cell r="C81" t="str">
            <v>PAROC InWall Wall Slab</v>
          </cell>
          <cell r="D81" t="str">
            <v>Wall slabs &amp; boards</v>
          </cell>
          <cell r="E81">
            <v>48.06</v>
          </cell>
          <cell r="F81">
            <v>6.91</v>
          </cell>
          <cell r="G81" t="str">
            <v>m2</v>
          </cell>
          <cell r="H81">
            <v>4</v>
          </cell>
          <cell r="I81" t="str">
            <v>150 600X1200 BP/16 4</v>
          </cell>
          <cell r="J81" t="str">
            <v>BP/16 4</v>
          </cell>
          <cell r="K81" t="str">
            <v>MD</v>
          </cell>
          <cell r="L81">
            <v>150</v>
          </cell>
          <cell r="M81">
            <v>600</v>
          </cell>
          <cell r="N81">
            <v>1200</v>
          </cell>
          <cell r="O81">
            <v>16</v>
          </cell>
          <cell r="P81">
            <v>4</v>
          </cell>
          <cell r="Q81">
            <v>262.58</v>
          </cell>
        </row>
        <row r="82">
          <cell r="A82">
            <v>8555941</v>
          </cell>
          <cell r="B82" t="str">
            <v>Linio 20 200 600X1200 PL/36 1</v>
          </cell>
          <cell r="C82" t="str">
            <v>PAROC Linio 20 Rendered Facade Slab</v>
          </cell>
          <cell r="D82" t="str">
            <v>Rendered facades</v>
          </cell>
          <cell r="E82">
            <v>25.92</v>
          </cell>
          <cell r="F82">
            <v>5.18</v>
          </cell>
          <cell r="G82" t="str">
            <v>m2</v>
          </cell>
          <cell r="H82">
            <v>4</v>
          </cell>
          <cell r="I82" t="str">
            <v>200 600X1200 PL/36 1</v>
          </cell>
          <cell r="J82" t="str">
            <v>PL/36 1</v>
          </cell>
          <cell r="K82" t="str">
            <v>HD</v>
          </cell>
          <cell r="L82">
            <v>200</v>
          </cell>
          <cell r="M82">
            <v>600</v>
          </cell>
          <cell r="N82">
            <v>1200</v>
          </cell>
          <cell r="O82">
            <v>36</v>
          </cell>
          <cell r="P82">
            <v>1</v>
          </cell>
          <cell r="Q82">
            <v>569.79999999999995</v>
          </cell>
        </row>
        <row r="83">
          <cell r="A83">
            <v>8508707</v>
          </cell>
          <cell r="B83" t="str">
            <v>ROS 60 100 1200X1800 PL/22</v>
          </cell>
          <cell r="C83" t="str">
            <v>PAROC ROS 60 Roof Slab</v>
          </cell>
          <cell r="D83" t="str">
            <v>Roof - Slabs and boards</v>
          </cell>
          <cell r="E83">
            <v>47.52</v>
          </cell>
          <cell r="F83">
            <v>4.75</v>
          </cell>
          <cell r="G83" t="str">
            <v>m2</v>
          </cell>
          <cell r="H83">
            <v>4</v>
          </cell>
          <cell r="I83" t="str">
            <v>100 1200X1800 PL/22</v>
          </cell>
          <cell r="J83" t="str">
            <v>PL/22</v>
          </cell>
          <cell r="K83" t="str">
            <v>HD</v>
          </cell>
          <cell r="L83">
            <v>100</v>
          </cell>
          <cell r="M83">
            <v>1200</v>
          </cell>
          <cell r="N83">
            <v>1800</v>
          </cell>
          <cell r="O83">
            <v>22</v>
          </cell>
          <cell r="Q83">
            <v>570</v>
          </cell>
        </row>
        <row r="84">
          <cell r="A84">
            <v>8557543</v>
          </cell>
          <cell r="B84" t="str">
            <v>InWall 140 600X1200 BP/16 4</v>
          </cell>
          <cell r="C84" t="str">
            <v>PAROC InWall Wall Slab</v>
          </cell>
          <cell r="D84" t="str">
            <v>Wall slabs &amp; boards</v>
          </cell>
          <cell r="E84">
            <v>48.06</v>
          </cell>
          <cell r="F84">
            <v>6.45</v>
          </cell>
          <cell r="G84" t="str">
            <v>m2</v>
          </cell>
          <cell r="H84">
            <v>4</v>
          </cell>
          <cell r="I84" t="str">
            <v>140 600X1200 BP/16 4</v>
          </cell>
          <cell r="J84" t="str">
            <v>BP/16 4</v>
          </cell>
          <cell r="K84" t="str">
            <v>MD</v>
          </cell>
          <cell r="L84">
            <v>140</v>
          </cell>
          <cell r="M84">
            <v>600</v>
          </cell>
          <cell r="N84">
            <v>1200</v>
          </cell>
          <cell r="O84">
            <v>16</v>
          </cell>
          <cell r="P84">
            <v>4</v>
          </cell>
          <cell r="Q84">
            <v>245.1</v>
          </cell>
        </row>
        <row r="85">
          <cell r="A85">
            <v>8557754</v>
          </cell>
          <cell r="B85" t="str">
            <v>Fatio 100 600X1200 PL/24 3</v>
          </cell>
          <cell r="C85" t="str">
            <v>PAROC Fatio Rendered Facade Slab</v>
          </cell>
          <cell r="D85" t="str">
            <v>Rendered facades</v>
          </cell>
          <cell r="E85">
            <v>51.84</v>
          </cell>
          <cell r="F85">
            <v>5.18</v>
          </cell>
          <cell r="G85" t="str">
            <v>m2</v>
          </cell>
          <cell r="H85">
            <v>4</v>
          </cell>
          <cell r="I85" t="str">
            <v>100 600X1200 PL/24 3</v>
          </cell>
          <cell r="J85" t="str">
            <v>PL/24 3</v>
          </cell>
          <cell r="K85" t="str">
            <v>HD</v>
          </cell>
          <cell r="L85">
            <v>100</v>
          </cell>
          <cell r="M85">
            <v>600</v>
          </cell>
          <cell r="N85">
            <v>1200</v>
          </cell>
          <cell r="O85">
            <v>24</v>
          </cell>
          <cell r="P85">
            <v>3</v>
          </cell>
          <cell r="Q85">
            <v>362.59999999999997</v>
          </cell>
        </row>
        <row r="86">
          <cell r="A86">
            <v>8557757</v>
          </cell>
          <cell r="B86" t="str">
            <v>Fatio 120 600X1200 PL/18 3</v>
          </cell>
          <cell r="C86" t="str">
            <v>PAROC Fatio Rendered Facade Slab</v>
          </cell>
          <cell r="D86" t="str">
            <v>Rendered facades</v>
          </cell>
          <cell r="E86">
            <v>38.880000000000003</v>
          </cell>
          <cell r="F86">
            <v>4.67</v>
          </cell>
          <cell r="G86" t="str">
            <v>m2</v>
          </cell>
          <cell r="H86">
            <v>4</v>
          </cell>
          <cell r="I86" t="str">
            <v>120 600X1200 PL/18 3</v>
          </cell>
          <cell r="J86" t="str">
            <v>PL/18 3</v>
          </cell>
          <cell r="K86" t="str">
            <v>HD</v>
          </cell>
          <cell r="L86">
            <v>120</v>
          </cell>
          <cell r="M86">
            <v>600</v>
          </cell>
          <cell r="N86">
            <v>1200</v>
          </cell>
          <cell r="O86">
            <v>18</v>
          </cell>
          <cell r="P86">
            <v>3</v>
          </cell>
          <cell r="Q86">
            <v>326.89999999999998</v>
          </cell>
        </row>
        <row r="87">
          <cell r="A87">
            <v>8559134</v>
          </cell>
          <cell r="B87" t="str">
            <v>InWall 60 600X1200 BP/16 10</v>
          </cell>
          <cell r="C87" t="str">
            <v>PAROC InWall Wall Slab</v>
          </cell>
          <cell r="D87" t="str">
            <v>Wall slabs &amp; boards</v>
          </cell>
          <cell r="E87">
            <v>115.2</v>
          </cell>
          <cell r="F87">
            <v>6.91</v>
          </cell>
          <cell r="G87" t="str">
            <v>m2</v>
          </cell>
          <cell r="H87">
            <v>4</v>
          </cell>
          <cell r="I87" t="str">
            <v>60 600X1200 BP/16 10</v>
          </cell>
          <cell r="J87" t="str">
            <v>BP/16 10</v>
          </cell>
          <cell r="K87" t="str">
            <v>MD</v>
          </cell>
          <cell r="L87">
            <v>60</v>
          </cell>
          <cell r="M87">
            <v>600</v>
          </cell>
          <cell r="N87">
            <v>1200</v>
          </cell>
          <cell r="O87">
            <v>16</v>
          </cell>
          <cell r="P87">
            <v>10</v>
          </cell>
          <cell r="Q87">
            <v>262.58</v>
          </cell>
        </row>
        <row r="88">
          <cell r="A88">
            <v>8509607</v>
          </cell>
          <cell r="B88" t="str">
            <v>ROS 40 180 1200X1800 PL/12</v>
          </cell>
          <cell r="C88" t="str">
            <v>PAROC ROS 40 Roof Slab</v>
          </cell>
          <cell r="D88" t="str">
            <v>Roof - Slabs and boards</v>
          </cell>
          <cell r="E88">
            <v>25.92</v>
          </cell>
          <cell r="F88">
            <v>4.67</v>
          </cell>
          <cell r="G88" t="str">
            <v>m2</v>
          </cell>
          <cell r="H88">
            <v>4</v>
          </cell>
          <cell r="I88" t="str">
            <v>180 1200X1800 PL/12</v>
          </cell>
          <cell r="J88" t="str">
            <v>PL/12</v>
          </cell>
          <cell r="K88" t="str">
            <v>HD</v>
          </cell>
          <cell r="L88">
            <v>180</v>
          </cell>
          <cell r="M88">
            <v>1200</v>
          </cell>
          <cell r="N88">
            <v>1800</v>
          </cell>
          <cell r="O88">
            <v>12</v>
          </cell>
          <cell r="Q88">
            <v>448.32</v>
          </cell>
        </row>
        <row r="89">
          <cell r="A89">
            <v>8553250</v>
          </cell>
          <cell r="B89" t="str">
            <v>WAS 25 200 600X1200 PL/18 2</v>
          </cell>
          <cell r="C89" t="str">
            <v>PAROC WAS 25 Wall Slab</v>
          </cell>
          <cell r="D89" t="str">
            <v>Wall slabs &amp; boards</v>
          </cell>
          <cell r="E89">
            <v>25.92</v>
          </cell>
          <cell r="F89">
            <v>5.18</v>
          </cell>
          <cell r="G89" t="str">
            <v>m2</v>
          </cell>
          <cell r="H89">
            <v>4</v>
          </cell>
          <cell r="I89" t="str">
            <v>200 600X1200 PL/18 2</v>
          </cell>
          <cell r="J89" t="str">
            <v>PL/18 2</v>
          </cell>
          <cell r="K89" t="str">
            <v>HD</v>
          </cell>
          <cell r="L89">
            <v>200</v>
          </cell>
          <cell r="M89">
            <v>600</v>
          </cell>
          <cell r="N89">
            <v>1200</v>
          </cell>
          <cell r="O89">
            <v>18</v>
          </cell>
          <cell r="P89">
            <v>2</v>
          </cell>
          <cell r="Q89">
            <v>414.4</v>
          </cell>
        </row>
        <row r="90">
          <cell r="A90">
            <v>8528773</v>
          </cell>
          <cell r="B90" t="str">
            <v>ROS 30 70 600X1200 PL/24 4</v>
          </cell>
          <cell r="C90" t="str">
            <v>PAROC ROS 30 Roof Slab</v>
          </cell>
          <cell r="D90" t="str">
            <v>Roof - Slabs and boards</v>
          </cell>
          <cell r="E90">
            <v>69.12</v>
          </cell>
          <cell r="F90">
            <v>4.84</v>
          </cell>
          <cell r="G90" t="str">
            <v>m2</v>
          </cell>
          <cell r="H90">
            <v>4</v>
          </cell>
          <cell r="I90" t="str">
            <v>70 600X1200 PL/24 4</v>
          </cell>
          <cell r="J90" t="str">
            <v>PL/24 4</v>
          </cell>
          <cell r="K90" t="str">
            <v>HD</v>
          </cell>
          <cell r="L90">
            <v>70</v>
          </cell>
          <cell r="M90">
            <v>600</v>
          </cell>
          <cell r="N90">
            <v>1200</v>
          </cell>
          <cell r="O90">
            <v>24</v>
          </cell>
          <cell r="P90">
            <v>4</v>
          </cell>
          <cell r="Q90">
            <v>411.4</v>
          </cell>
        </row>
        <row r="91">
          <cell r="A91">
            <v>8553479</v>
          </cell>
          <cell r="B91" t="str">
            <v>ROS 30 200 600X1200 PL/15 2</v>
          </cell>
          <cell r="C91" t="str">
            <v>PAROC ROS 30 Roof Slab</v>
          </cell>
          <cell r="D91" t="str">
            <v>Roof - Slabs and boards</v>
          </cell>
          <cell r="E91">
            <v>21.6</v>
          </cell>
          <cell r="F91">
            <v>4.32</v>
          </cell>
          <cell r="G91" t="str">
            <v>m2</v>
          </cell>
          <cell r="H91">
            <v>4</v>
          </cell>
          <cell r="I91" t="str">
            <v>200 600X1200 PL/15 2</v>
          </cell>
          <cell r="J91" t="str">
            <v>PL/15 2</v>
          </cell>
          <cell r="K91" t="str">
            <v>HD</v>
          </cell>
          <cell r="L91">
            <v>200</v>
          </cell>
          <cell r="M91">
            <v>600</v>
          </cell>
          <cell r="N91">
            <v>1200</v>
          </cell>
          <cell r="O91">
            <v>15</v>
          </cell>
          <cell r="P91">
            <v>2</v>
          </cell>
          <cell r="Q91">
            <v>367.20000000000005</v>
          </cell>
        </row>
        <row r="92">
          <cell r="A92">
            <v>8565442</v>
          </cell>
          <cell r="B92" t="str">
            <v>WAS 120 50 600X1200 BP/24 16</v>
          </cell>
          <cell r="C92" t="str">
            <v>PAROC WAS 120 Wall Slab</v>
          </cell>
          <cell r="D92" t="str">
            <v>Wall slabs &amp; boards</v>
          </cell>
          <cell r="E92">
            <v>276.48</v>
          </cell>
          <cell r="F92">
            <v>13.82</v>
          </cell>
          <cell r="G92" t="str">
            <v>m2</v>
          </cell>
          <cell r="H92">
            <v>4</v>
          </cell>
          <cell r="I92" t="str">
            <v>50 600X1200 BP/24 16</v>
          </cell>
          <cell r="J92" t="str">
            <v>BP/24 16</v>
          </cell>
          <cell r="K92" t="str">
            <v>EXL</v>
          </cell>
          <cell r="L92">
            <v>50</v>
          </cell>
          <cell r="M92">
            <v>600</v>
          </cell>
          <cell r="N92">
            <v>1200</v>
          </cell>
          <cell r="O92">
            <v>24</v>
          </cell>
          <cell r="P92">
            <v>16</v>
          </cell>
          <cell r="Q92">
            <v>414.6</v>
          </cell>
        </row>
        <row r="93">
          <cell r="A93">
            <v>8565548</v>
          </cell>
          <cell r="B93" t="str">
            <v>WAS 120 110 600X1200 BP/24 7</v>
          </cell>
          <cell r="C93" t="str">
            <v>PAROC WAS 120 Wall Slab</v>
          </cell>
          <cell r="D93" t="str">
            <v>Wall slabs &amp; boards</v>
          </cell>
          <cell r="E93">
            <v>120.96</v>
          </cell>
          <cell r="F93">
            <v>13.31</v>
          </cell>
          <cell r="G93" t="str">
            <v>m2</v>
          </cell>
          <cell r="H93">
            <v>4</v>
          </cell>
          <cell r="I93" t="str">
            <v>110 600X1200 BP/24 7</v>
          </cell>
          <cell r="J93" t="str">
            <v>BP/24 7</v>
          </cell>
          <cell r="K93" t="str">
            <v>EXL</v>
          </cell>
          <cell r="L93">
            <v>110</v>
          </cell>
          <cell r="M93">
            <v>600</v>
          </cell>
          <cell r="N93">
            <v>1200</v>
          </cell>
          <cell r="O93">
            <v>24</v>
          </cell>
          <cell r="P93">
            <v>7</v>
          </cell>
          <cell r="Q93">
            <v>399.3</v>
          </cell>
        </row>
        <row r="94">
          <cell r="A94">
            <v>8565721</v>
          </cell>
          <cell r="B94" t="str">
            <v>ROB 80 20 600X1200 PL/36 10</v>
          </cell>
          <cell r="C94" t="str">
            <v>PAROC ROB 80 Roof Board</v>
          </cell>
          <cell r="D94" t="str">
            <v>Roof - Slabs and boards</v>
          </cell>
          <cell r="E94">
            <v>259.2</v>
          </cell>
          <cell r="F94">
            <v>5.18</v>
          </cell>
          <cell r="G94" t="str">
            <v>m2</v>
          </cell>
          <cell r="H94">
            <v>4</v>
          </cell>
          <cell r="I94" t="str">
            <v>20 600X1200 PL/36 10</v>
          </cell>
          <cell r="J94" t="str">
            <v>PL/36 10</v>
          </cell>
          <cell r="K94" t="str">
            <v>HD</v>
          </cell>
          <cell r="L94">
            <v>20</v>
          </cell>
          <cell r="M94">
            <v>600</v>
          </cell>
          <cell r="N94">
            <v>1200</v>
          </cell>
          <cell r="O94">
            <v>36</v>
          </cell>
          <cell r="P94">
            <v>10</v>
          </cell>
          <cell r="Q94">
            <v>906.5</v>
          </cell>
        </row>
        <row r="95">
          <cell r="A95">
            <v>8566032</v>
          </cell>
          <cell r="B95" t="str">
            <v>ROS 40 250 1200X1800 PL/9</v>
          </cell>
          <cell r="C95" t="str">
            <v>PAROC ROS 40 Roof Slab</v>
          </cell>
          <cell r="D95" t="str">
            <v>Roof - Slabs and boards</v>
          </cell>
          <cell r="E95">
            <v>19.440000000000001</v>
          </cell>
          <cell r="F95">
            <v>4.8600000000000003</v>
          </cell>
          <cell r="G95" t="str">
            <v>m2</v>
          </cell>
          <cell r="H95">
            <v>4</v>
          </cell>
          <cell r="I95" t="str">
            <v>250 1200X1800 PL/9</v>
          </cell>
          <cell r="J95" t="str">
            <v>PL/9</v>
          </cell>
          <cell r="K95" t="str">
            <v>HD</v>
          </cell>
          <cell r="L95">
            <v>250</v>
          </cell>
          <cell r="M95">
            <v>1200</v>
          </cell>
          <cell r="N95">
            <v>1800</v>
          </cell>
          <cell r="O95">
            <v>9</v>
          </cell>
          <cell r="Q95">
            <v>466.56000000000006</v>
          </cell>
        </row>
        <row r="96">
          <cell r="A96">
            <v>8567823</v>
          </cell>
          <cell r="B96" t="str">
            <v>Fatio 180 600X1200 PL/18 2</v>
          </cell>
          <cell r="C96" t="str">
            <v>PAROC Fatio Rendered Facade Slab</v>
          </cell>
          <cell r="D96" t="str">
            <v>Rendered facades</v>
          </cell>
          <cell r="E96">
            <v>25.92</v>
          </cell>
          <cell r="F96">
            <v>4.67</v>
          </cell>
          <cell r="G96" t="str">
            <v>m2</v>
          </cell>
          <cell r="H96">
            <v>4</v>
          </cell>
          <cell r="I96" t="str">
            <v>180 600X1200 PL/18 2</v>
          </cell>
          <cell r="J96" t="str">
            <v>PL/18 2</v>
          </cell>
          <cell r="K96" t="str">
            <v>HD</v>
          </cell>
          <cell r="L96">
            <v>180</v>
          </cell>
          <cell r="M96">
            <v>600</v>
          </cell>
          <cell r="N96">
            <v>1200</v>
          </cell>
          <cell r="O96">
            <v>18</v>
          </cell>
          <cell r="P96">
            <v>2</v>
          </cell>
          <cell r="Q96">
            <v>326.89999999999998</v>
          </cell>
        </row>
        <row r="97">
          <cell r="A97">
            <v>8567876</v>
          </cell>
          <cell r="B97" t="str">
            <v>ROS 60 130 900X1200 PL/34</v>
          </cell>
          <cell r="C97" t="str">
            <v>PAROC ROS 60 Roof Slab</v>
          </cell>
          <cell r="D97" t="str">
            <v>Roof - Slabs and boards</v>
          </cell>
          <cell r="E97">
            <v>36.72</v>
          </cell>
          <cell r="F97">
            <v>4.7699999999999996</v>
          </cell>
          <cell r="G97" t="str">
            <v>m2</v>
          </cell>
          <cell r="H97">
            <v>4</v>
          </cell>
          <cell r="I97" t="str">
            <v>130 900X1200 PL/34</v>
          </cell>
          <cell r="J97" t="str">
            <v>PL/34</v>
          </cell>
          <cell r="K97" t="str">
            <v>HD</v>
          </cell>
          <cell r="L97">
            <v>130</v>
          </cell>
          <cell r="M97">
            <v>900</v>
          </cell>
          <cell r="N97">
            <v>1200</v>
          </cell>
          <cell r="O97">
            <v>34</v>
          </cell>
          <cell r="Q97">
            <v>572.4</v>
          </cell>
        </row>
        <row r="98">
          <cell r="A98">
            <v>8568428</v>
          </cell>
          <cell r="B98" t="str">
            <v>Linio 20 130 600X1200 PL/27 2</v>
          </cell>
          <cell r="C98" t="str">
            <v>PAROC Linio 20 Rendered Facade Slab</v>
          </cell>
          <cell r="D98" t="str">
            <v>Rendered facades</v>
          </cell>
          <cell r="E98">
            <v>38.880000000000003</v>
          </cell>
          <cell r="F98">
            <v>5.05</v>
          </cell>
          <cell r="G98" t="str">
            <v>m2</v>
          </cell>
          <cell r="H98">
            <v>4</v>
          </cell>
          <cell r="I98" t="str">
            <v>130 600X1200 PL/27 2</v>
          </cell>
          <cell r="J98" t="str">
            <v>PL/27 2</v>
          </cell>
          <cell r="K98" t="str">
            <v>HD</v>
          </cell>
          <cell r="L98">
            <v>130</v>
          </cell>
          <cell r="M98">
            <v>600</v>
          </cell>
          <cell r="N98">
            <v>1200</v>
          </cell>
          <cell r="O98">
            <v>27</v>
          </cell>
          <cell r="P98">
            <v>2</v>
          </cell>
          <cell r="Q98">
            <v>555.5</v>
          </cell>
        </row>
        <row r="99">
          <cell r="A99">
            <v>8569456</v>
          </cell>
          <cell r="B99" t="str">
            <v>CGL 20 40 200X1200 PL/336</v>
          </cell>
          <cell r="C99" t="str">
            <v>PAROC CGL 20 Ceiling Lamella</v>
          </cell>
          <cell r="D99" t="str">
            <v>Cellar ceiling lamellas and slabs</v>
          </cell>
          <cell r="E99">
            <v>80.64</v>
          </cell>
          <cell r="F99">
            <v>3.23</v>
          </cell>
          <cell r="G99" t="str">
            <v>m2</v>
          </cell>
          <cell r="H99">
            <v>4</v>
          </cell>
          <cell r="I99" t="str">
            <v>40 200X1200 PL/336</v>
          </cell>
          <cell r="J99" t="str">
            <v>PL/336</v>
          </cell>
          <cell r="K99" t="str">
            <v>HD</v>
          </cell>
          <cell r="L99">
            <v>40</v>
          </cell>
          <cell r="M99">
            <v>200</v>
          </cell>
          <cell r="N99">
            <v>1200</v>
          </cell>
          <cell r="O99">
            <v>336</v>
          </cell>
          <cell r="Q99">
            <v>206.72</v>
          </cell>
        </row>
        <row r="100">
          <cell r="A100">
            <v>8569462</v>
          </cell>
          <cell r="B100" t="str">
            <v>Linio 80 120 200X1480 PL/108</v>
          </cell>
          <cell r="C100" t="str">
            <v>PAROC Linio 80 Facade Lamella</v>
          </cell>
          <cell r="D100" t="str">
            <v>Rendered facades</v>
          </cell>
          <cell r="E100">
            <v>31.96</v>
          </cell>
          <cell r="F100">
            <v>3.84</v>
          </cell>
          <cell r="G100" t="str">
            <v>m2</v>
          </cell>
          <cell r="H100">
            <v>4</v>
          </cell>
          <cell r="I100" t="str">
            <v>120 200X1480 PL/108</v>
          </cell>
          <cell r="J100" t="str">
            <v>PL/108</v>
          </cell>
          <cell r="K100" t="str">
            <v>HD</v>
          </cell>
          <cell r="L100">
            <v>120</v>
          </cell>
          <cell r="M100">
            <v>200</v>
          </cell>
          <cell r="N100">
            <v>1480</v>
          </cell>
          <cell r="O100">
            <v>108</v>
          </cell>
          <cell r="Q100">
            <v>299.52</v>
          </cell>
        </row>
        <row r="101">
          <cell r="A101">
            <v>8501254</v>
          </cell>
          <cell r="B101" t="str">
            <v>ROB 60t 20 1800X1200 PL/54</v>
          </cell>
          <cell r="C101" t="str">
            <v>PAROC ROB 60t Roof Board</v>
          </cell>
          <cell r="D101" t="str">
            <v>Roof - Slabs and boards</v>
          </cell>
          <cell r="E101">
            <v>116.64</v>
          </cell>
          <cell r="F101">
            <v>2.33</v>
          </cell>
          <cell r="G101" t="str">
            <v>m2</v>
          </cell>
          <cell r="H101">
            <v>4</v>
          </cell>
          <cell r="I101" t="str">
            <v>20 1800X1200 PL/54</v>
          </cell>
          <cell r="J101" t="str">
            <v>PL/54</v>
          </cell>
          <cell r="K101" t="str">
            <v>HD</v>
          </cell>
          <cell r="L101">
            <v>20</v>
          </cell>
          <cell r="M101">
            <v>1800</v>
          </cell>
          <cell r="N101">
            <v>1200</v>
          </cell>
          <cell r="O101">
            <v>54</v>
          </cell>
          <cell r="Q101">
            <v>342.51</v>
          </cell>
        </row>
        <row r="102">
          <cell r="A102">
            <v>8500921</v>
          </cell>
          <cell r="B102" t="str">
            <v>ROS 30 120 1200X1800 PL/18</v>
          </cell>
          <cell r="C102" t="str">
            <v>PAROC ROS 30 Roof Slab</v>
          </cell>
          <cell r="D102" t="str">
            <v>Roof - Slabs and boards</v>
          </cell>
          <cell r="E102">
            <v>38.880000000000003</v>
          </cell>
          <cell r="F102">
            <v>4.67</v>
          </cell>
          <cell r="G102" t="str">
            <v>m2</v>
          </cell>
          <cell r="H102">
            <v>4</v>
          </cell>
          <cell r="I102" t="str">
            <v>120 1200X1800 PL/18</v>
          </cell>
          <cell r="J102" t="str">
            <v>PL/18</v>
          </cell>
          <cell r="K102" t="str">
            <v>HD</v>
          </cell>
          <cell r="L102">
            <v>120</v>
          </cell>
          <cell r="M102">
            <v>1200</v>
          </cell>
          <cell r="N102">
            <v>1800</v>
          </cell>
          <cell r="O102">
            <v>18</v>
          </cell>
          <cell r="Q102">
            <v>396.95</v>
          </cell>
        </row>
        <row r="103">
          <cell r="A103">
            <v>8508894</v>
          </cell>
          <cell r="B103" t="str">
            <v>FPS 14 20 600X1200 PL/33 10</v>
          </cell>
          <cell r="C103" t="str">
            <v>PAROC FPS 14 Fire Protection Slab</v>
          </cell>
          <cell r="D103" t="str">
            <v>Fire protection</v>
          </cell>
          <cell r="E103">
            <v>237.6</v>
          </cell>
          <cell r="F103">
            <v>4.75</v>
          </cell>
          <cell r="G103" t="str">
            <v>m2</v>
          </cell>
          <cell r="H103">
            <v>4</v>
          </cell>
          <cell r="I103" t="str">
            <v>20 600X1200 PL/33 10</v>
          </cell>
          <cell r="J103" t="str">
            <v>PL/33 10</v>
          </cell>
          <cell r="K103" t="str">
            <v>HD</v>
          </cell>
          <cell r="L103">
            <v>20</v>
          </cell>
          <cell r="M103">
            <v>600</v>
          </cell>
          <cell r="N103">
            <v>1200</v>
          </cell>
          <cell r="O103">
            <v>33</v>
          </cell>
          <cell r="P103">
            <v>10</v>
          </cell>
          <cell r="Q103">
            <v>646</v>
          </cell>
        </row>
        <row r="104">
          <cell r="A104">
            <v>8508708</v>
          </cell>
          <cell r="B104" t="str">
            <v>ROS 40 80 1200X1800 PL/28</v>
          </cell>
          <cell r="C104" t="str">
            <v>PAROC ROS 40 Roof Slab</v>
          </cell>
          <cell r="D104" t="str">
            <v>Roof - Slabs and boards</v>
          </cell>
          <cell r="E104">
            <v>60.48</v>
          </cell>
          <cell r="F104">
            <v>4.84</v>
          </cell>
          <cell r="G104" t="str">
            <v>m2</v>
          </cell>
          <cell r="H104">
            <v>4</v>
          </cell>
          <cell r="I104" t="str">
            <v>80 1200X1800 PL/28</v>
          </cell>
          <cell r="J104" t="str">
            <v>PL/28</v>
          </cell>
          <cell r="K104" t="str">
            <v>HD</v>
          </cell>
          <cell r="L104">
            <v>80</v>
          </cell>
          <cell r="M104">
            <v>1200</v>
          </cell>
          <cell r="N104">
            <v>1800</v>
          </cell>
          <cell r="O104">
            <v>28</v>
          </cell>
          <cell r="Q104">
            <v>464.64</v>
          </cell>
        </row>
        <row r="105">
          <cell r="A105">
            <v>8508700</v>
          </cell>
          <cell r="B105" t="str">
            <v>ROS 60 50 1200X1800 PL/45</v>
          </cell>
          <cell r="C105" t="str">
            <v>PAROC ROS 60 Roof Slab</v>
          </cell>
          <cell r="D105" t="str">
            <v>Roof - Slabs and boards</v>
          </cell>
          <cell r="E105">
            <v>97.2</v>
          </cell>
          <cell r="F105">
            <v>4.8600000000000003</v>
          </cell>
          <cell r="G105" t="str">
            <v>m2</v>
          </cell>
          <cell r="H105">
            <v>4</v>
          </cell>
          <cell r="I105" t="str">
            <v>50 1200X1800 PL/45</v>
          </cell>
          <cell r="J105" t="str">
            <v>PL/45</v>
          </cell>
          <cell r="K105" t="str">
            <v>HD</v>
          </cell>
          <cell r="L105">
            <v>50</v>
          </cell>
          <cell r="M105">
            <v>1200</v>
          </cell>
          <cell r="N105">
            <v>1800</v>
          </cell>
          <cell r="O105">
            <v>45</v>
          </cell>
          <cell r="Q105">
            <v>583.20000000000005</v>
          </cell>
        </row>
        <row r="106">
          <cell r="A106">
            <v>8541324</v>
          </cell>
          <cell r="B106" t="str">
            <v>WAS 50tb 100 600X1200 BP/16 5</v>
          </cell>
          <cell r="C106" t="str">
            <v>PAROC WAS 50tb Wall Slab</v>
          </cell>
          <cell r="D106" t="str">
            <v>Wall slabs &amp; boards</v>
          </cell>
          <cell r="E106">
            <v>57.6</v>
          </cell>
          <cell r="F106">
            <v>5.76</v>
          </cell>
          <cell r="G106" t="str">
            <v>m2</v>
          </cell>
          <cell r="H106">
            <v>4</v>
          </cell>
          <cell r="I106" t="str">
            <v>100 600X1200 BP/16 5</v>
          </cell>
          <cell r="J106" t="str">
            <v>BP/16 5</v>
          </cell>
          <cell r="K106" t="str">
            <v>HD</v>
          </cell>
          <cell r="L106">
            <v>100</v>
          </cell>
          <cell r="M106">
            <v>600</v>
          </cell>
          <cell r="N106">
            <v>1200</v>
          </cell>
          <cell r="O106">
            <v>16</v>
          </cell>
          <cell r="P106">
            <v>5</v>
          </cell>
          <cell r="Q106">
            <v>259.2</v>
          </cell>
        </row>
        <row r="107">
          <cell r="A107">
            <v>8521821</v>
          </cell>
          <cell r="B107" t="str">
            <v>ROS 40 110 1200X1800 PL/20</v>
          </cell>
          <cell r="C107" t="str">
            <v>PAROC ROS 40 Roof Slab</v>
          </cell>
          <cell r="D107" t="str">
            <v>Roof - Slabs and boards</v>
          </cell>
          <cell r="E107">
            <v>43.2</v>
          </cell>
          <cell r="F107">
            <v>4.75</v>
          </cell>
          <cell r="G107" t="str">
            <v>m2</v>
          </cell>
          <cell r="H107">
            <v>4</v>
          </cell>
          <cell r="I107" t="str">
            <v>110 1200X1800 PL/20</v>
          </cell>
          <cell r="J107" t="str">
            <v>PL/20</v>
          </cell>
          <cell r="K107" t="str">
            <v>HD</v>
          </cell>
          <cell r="L107">
            <v>110</v>
          </cell>
          <cell r="M107">
            <v>1200</v>
          </cell>
          <cell r="N107">
            <v>1800</v>
          </cell>
          <cell r="O107">
            <v>20</v>
          </cell>
          <cell r="Q107">
            <v>456</v>
          </cell>
        </row>
        <row r="108">
          <cell r="A108">
            <v>8548408</v>
          </cell>
          <cell r="B108" t="str">
            <v>eXtra 70 600X1200 BP/24 10</v>
          </cell>
          <cell r="C108" t="str">
            <v>PAROC eXtra Flexible Slab</v>
          </cell>
          <cell r="D108" t="str">
            <v>Flexible slabs &amp; mats</v>
          </cell>
          <cell r="E108">
            <v>172.8</v>
          </cell>
          <cell r="F108">
            <v>12.1</v>
          </cell>
          <cell r="G108" t="str">
            <v>m2</v>
          </cell>
          <cell r="H108">
            <v>4</v>
          </cell>
          <cell r="I108" t="str">
            <v>70 600X1200 BP/24 10</v>
          </cell>
          <cell r="J108" t="str">
            <v>BP/24 10</v>
          </cell>
          <cell r="K108" t="str">
            <v>EXL</v>
          </cell>
          <cell r="L108">
            <v>70</v>
          </cell>
          <cell r="M108">
            <v>600</v>
          </cell>
          <cell r="N108">
            <v>1200</v>
          </cell>
          <cell r="O108">
            <v>24</v>
          </cell>
          <cell r="P108">
            <v>10</v>
          </cell>
          <cell r="Q108">
            <v>338.8</v>
          </cell>
        </row>
        <row r="109">
          <cell r="A109">
            <v>8550281</v>
          </cell>
          <cell r="B109" t="str">
            <v>eXtra 80 600X1200 BP/24 10</v>
          </cell>
          <cell r="C109" t="str">
            <v>PAROC eXtra Flexible Slab</v>
          </cell>
          <cell r="D109" t="str">
            <v>Flexible slabs &amp; mats</v>
          </cell>
          <cell r="E109">
            <v>172.8</v>
          </cell>
          <cell r="F109">
            <v>13.82</v>
          </cell>
          <cell r="G109" t="str">
            <v>m2</v>
          </cell>
          <cell r="H109">
            <v>4</v>
          </cell>
          <cell r="I109" t="str">
            <v>80 600X1200 BP/24 10</v>
          </cell>
          <cell r="J109" t="str">
            <v>BP/24 10</v>
          </cell>
          <cell r="K109" t="str">
            <v>EXL</v>
          </cell>
          <cell r="L109">
            <v>80</v>
          </cell>
          <cell r="M109">
            <v>600</v>
          </cell>
          <cell r="N109">
            <v>1200</v>
          </cell>
          <cell r="O109">
            <v>24</v>
          </cell>
          <cell r="P109">
            <v>10</v>
          </cell>
          <cell r="Q109">
            <v>386.96000000000004</v>
          </cell>
        </row>
        <row r="110">
          <cell r="A110">
            <v>8515468</v>
          </cell>
          <cell r="B110" t="str">
            <v>WAS 50 80 600X1200 BP/16 6</v>
          </cell>
          <cell r="C110" t="str">
            <v>PAROC WAS 50 Wall Slab</v>
          </cell>
          <cell r="D110" t="str">
            <v>Wall slabs &amp; boards</v>
          </cell>
          <cell r="E110">
            <v>69.12</v>
          </cell>
          <cell r="F110">
            <v>5.53</v>
          </cell>
          <cell r="G110" t="str">
            <v>m2</v>
          </cell>
          <cell r="H110">
            <v>4</v>
          </cell>
          <cell r="I110" t="str">
            <v>80 600X1200 BP/16 6</v>
          </cell>
          <cell r="J110" t="str">
            <v>BP/16 6</v>
          </cell>
          <cell r="K110" t="str">
            <v>HD</v>
          </cell>
          <cell r="L110">
            <v>80</v>
          </cell>
          <cell r="M110">
            <v>600</v>
          </cell>
          <cell r="N110">
            <v>1200</v>
          </cell>
          <cell r="O110">
            <v>16</v>
          </cell>
          <cell r="P110">
            <v>6</v>
          </cell>
          <cell r="Q110">
            <v>248.85000000000002</v>
          </cell>
        </row>
        <row r="111">
          <cell r="A111">
            <v>8551483</v>
          </cell>
          <cell r="B111" t="str">
            <v>eXtra 110 600X1200 BP/24 7</v>
          </cell>
          <cell r="C111" t="str">
            <v>PAROC eXtra Flexible Slab</v>
          </cell>
          <cell r="D111" t="str">
            <v>Flexible slabs &amp; mats</v>
          </cell>
          <cell r="E111">
            <v>120.96</v>
          </cell>
          <cell r="F111">
            <v>13.31</v>
          </cell>
          <cell r="G111" t="str">
            <v>m2</v>
          </cell>
          <cell r="H111">
            <v>4</v>
          </cell>
          <cell r="I111" t="str">
            <v>110 600X1200 BP/24 7</v>
          </cell>
          <cell r="J111" t="str">
            <v>BP/24 7</v>
          </cell>
          <cell r="K111" t="str">
            <v>EXL</v>
          </cell>
          <cell r="L111">
            <v>110</v>
          </cell>
          <cell r="M111">
            <v>600</v>
          </cell>
          <cell r="N111">
            <v>1200</v>
          </cell>
          <cell r="O111">
            <v>24</v>
          </cell>
          <cell r="P111">
            <v>7</v>
          </cell>
          <cell r="Q111">
            <v>372.68</v>
          </cell>
        </row>
        <row r="112">
          <cell r="A112">
            <v>8550108</v>
          </cell>
          <cell r="B112" t="str">
            <v>WAS 25t 100 600X1200 PL/18 4</v>
          </cell>
          <cell r="C112" t="str">
            <v>PAROC WAS 25t Wall Slab</v>
          </cell>
          <cell r="D112" t="str">
            <v>Wall slabs &amp; boards</v>
          </cell>
          <cell r="E112">
            <v>51.84</v>
          </cell>
          <cell r="F112">
            <v>5.18</v>
          </cell>
          <cell r="G112" t="str">
            <v>m2</v>
          </cell>
          <cell r="H112">
            <v>4</v>
          </cell>
          <cell r="I112" t="str">
            <v>100 600X1200 PL/18 4</v>
          </cell>
          <cell r="J112" t="str">
            <v>PL/18 4</v>
          </cell>
          <cell r="K112" t="str">
            <v>HD</v>
          </cell>
          <cell r="L112">
            <v>100</v>
          </cell>
          <cell r="M112">
            <v>600</v>
          </cell>
          <cell r="N112">
            <v>1200</v>
          </cell>
          <cell r="O112">
            <v>18</v>
          </cell>
          <cell r="P112">
            <v>4</v>
          </cell>
          <cell r="Q112">
            <v>414.4</v>
          </cell>
        </row>
        <row r="113">
          <cell r="A113">
            <v>8548880</v>
          </cell>
          <cell r="B113" t="str">
            <v>Linio 15 60 600X1200 PL/30 4</v>
          </cell>
          <cell r="C113" t="str">
            <v>PAROC Linio 15 Rendered Facade Slab</v>
          </cell>
          <cell r="D113" t="str">
            <v>Rendered facades</v>
          </cell>
          <cell r="E113">
            <v>86.4</v>
          </cell>
          <cell r="F113">
            <v>5.18</v>
          </cell>
          <cell r="G113" t="str">
            <v>m2</v>
          </cell>
          <cell r="H113">
            <v>4</v>
          </cell>
          <cell r="I113" t="str">
            <v>60 600X1200 PL/30 4</v>
          </cell>
          <cell r="J113" t="str">
            <v>PL/30 4</v>
          </cell>
          <cell r="K113" t="str">
            <v>HD</v>
          </cell>
          <cell r="L113">
            <v>60</v>
          </cell>
          <cell r="M113">
            <v>600</v>
          </cell>
          <cell r="N113">
            <v>1200</v>
          </cell>
          <cell r="O113">
            <v>30</v>
          </cell>
          <cell r="P113">
            <v>4</v>
          </cell>
          <cell r="Q113">
            <v>450.65999999999997</v>
          </cell>
        </row>
        <row r="114">
          <cell r="A114">
            <v>8548763</v>
          </cell>
          <cell r="B114" t="str">
            <v>Linio 10 140 600X1200 PL/24 2</v>
          </cell>
          <cell r="C114" t="str">
            <v>PAROC Linio 10 Rendered Facade Slab</v>
          </cell>
          <cell r="D114" t="str">
            <v>Rendered facades</v>
          </cell>
          <cell r="E114">
            <v>34.56</v>
          </cell>
          <cell r="F114">
            <v>4.84</v>
          </cell>
          <cell r="G114" t="str">
            <v>m2</v>
          </cell>
          <cell r="H114">
            <v>4</v>
          </cell>
          <cell r="I114" t="str">
            <v>140 600X1200 PL/24 2</v>
          </cell>
          <cell r="J114" t="str">
            <v>PL/24 2</v>
          </cell>
          <cell r="K114" t="str">
            <v>HD</v>
          </cell>
          <cell r="L114">
            <v>140</v>
          </cell>
          <cell r="M114">
            <v>600</v>
          </cell>
          <cell r="N114">
            <v>1200</v>
          </cell>
          <cell r="O114">
            <v>24</v>
          </cell>
          <cell r="P114">
            <v>2</v>
          </cell>
          <cell r="Q114">
            <v>372.68</v>
          </cell>
        </row>
        <row r="115">
          <cell r="A115">
            <v>8548759</v>
          </cell>
          <cell r="B115" t="str">
            <v>Linio 10 120 600X1200 PL/30 2</v>
          </cell>
          <cell r="C115" t="str">
            <v>PAROC Linio 10 Rendered Facade Slab</v>
          </cell>
          <cell r="D115" t="str">
            <v>Rendered facades</v>
          </cell>
          <cell r="E115">
            <v>43.2</v>
          </cell>
          <cell r="F115">
            <v>5.18</v>
          </cell>
          <cell r="G115" t="str">
            <v>m2</v>
          </cell>
          <cell r="H115">
            <v>4</v>
          </cell>
          <cell r="I115" t="str">
            <v>120 600X1200 PL/30 2</v>
          </cell>
          <cell r="J115" t="str">
            <v>PL/30 2</v>
          </cell>
          <cell r="K115" t="str">
            <v>HD</v>
          </cell>
          <cell r="L115">
            <v>120</v>
          </cell>
          <cell r="M115">
            <v>600</v>
          </cell>
          <cell r="N115">
            <v>1200</v>
          </cell>
          <cell r="O115">
            <v>30</v>
          </cell>
          <cell r="P115">
            <v>2</v>
          </cell>
          <cell r="Q115">
            <v>398.85999999999996</v>
          </cell>
        </row>
        <row r="116">
          <cell r="A116">
            <v>8548868</v>
          </cell>
          <cell r="B116" t="str">
            <v>Linio 15 140 600X1200 PL/24 2</v>
          </cell>
          <cell r="C116" t="str">
            <v>PAROC Linio 15 Rendered Facade Slab</v>
          </cell>
          <cell r="D116" t="str">
            <v>Rendered facades</v>
          </cell>
          <cell r="E116">
            <v>34.56</v>
          </cell>
          <cell r="F116">
            <v>4.84</v>
          </cell>
          <cell r="G116" t="str">
            <v>m2</v>
          </cell>
          <cell r="H116">
            <v>4</v>
          </cell>
          <cell r="I116" t="str">
            <v>140 600X1200 PL/24 2</v>
          </cell>
          <cell r="J116" t="str">
            <v>PL/24 2</v>
          </cell>
          <cell r="K116" t="str">
            <v>HD</v>
          </cell>
          <cell r="L116">
            <v>140</v>
          </cell>
          <cell r="M116">
            <v>600</v>
          </cell>
          <cell r="N116">
            <v>1200</v>
          </cell>
          <cell r="O116">
            <v>24</v>
          </cell>
          <cell r="P116">
            <v>2</v>
          </cell>
          <cell r="Q116">
            <v>421.08</v>
          </cell>
        </row>
        <row r="117">
          <cell r="A117">
            <v>8558099</v>
          </cell>
          <cell r="B117" t="str">
            <v>Linio 10 30 600X1200 PL/30 8</v>
          </cell>
          <cell r="C117" t="str">
            <v>PAROC Linio 10 Rendered Facade Slab</v>
          </cell>
          <cell r="D117" t="str">
            <v>Rendered facades</v>
          </cell>
          <cell r="E117">
            <v>172.8</v>
          </cell>
          <cell r="F117">
            <v>5.18</v>
          </cell>
          <cell r="G117" t="str">
            <v>m2</v>
          </cell>
          <cell r="H117">
            <v>4</v>
          </cell>
          <cell r="I117" t="str">
            <v>30 600X1200 PL/30 8</v>
          </cell>
          <cell r="J117" t="str">
            <v>PL/30 8</v>
          </cell>
          <cell r="K117" t="str">
            <v>HD</v>
          </cell>
          <cell r="L117">
            <v>30</v>
          </cell>
          <cell r="M117">
            <v>600</v>
          </cell>
          <cell r="N117">
            <v>1200</v>
          </cell>
          <cell r="O117">
            <v>30</v>
          </cell>
          <cell r="P117">
            <v>8</v>
          </cell>
          <cell r="Q117">
            <v>398.85999999999996</v>
          </cell>
        </row>
        <row r="118">
          <cell r="A118">
            <v>8560325</v>
          </cell>
          <cell r="B118" t="str">
            <v>Linio 18 80 600X1200 PL/30 3</v>
          </cell>
          <cell r="C118" t="str">
            <v>PAROC Linio 18 Rendered Facade Slab</v>
          </cell>
          <cell r="D118" t="str">
            <v>Rendered facades</v>
          </cell>
          <cell r="E118">
            <v>64.8</v>
          </cell>
          <cell r="F118">
            <v>5.18</v>
          </cell>
          <cell r="G118" t="str">
            <v>m2</v>
          </cell>
          <cell r="H118">
            <v>4</v>
          </cell>
          <cell r="I118" t="str">
            <v>80 600X1200 PL/30 3</v>
          </cell>
          <cell r="J118" t="str">
            <v>PL/30 3</v>
          </cell>
          <cell r="K118" t="str">
            <v>HD</v>
          </cell>
          <cell r="L118">
            <v>80</v>
          </cell>
          <cell r="M118">
            <v>600</v>
          </cell>
          <cell r="N118">
            <v>1200</v>
          </cell>
          <cell r="O118">
            <v>30</v>
          </cell>
          <cell r="P118">
            <v>3</v>
          </cell>
          <cell r="Q118">
            <v>481.73999999999995</v>
          </cell>
        </row>
        <row r="119">
          <cell r="A119">
            <v>8560336</v>
          </cell>
          <cell r="B119" t="str">
            <v>Linio 18 20 600X1200 PL/36 10</v>
          </cell>
          <cell r="C119" t="str">
            <v>PAROC Linio 18 Rendered Facade Slab</v>
          </cell>
          <cell r="D119" t="str">
            <v>Rendered facades</v>
          </cell>
          <cell r="E119">
            <v>259.2</v>
          </cell>
          <cell r="F119">
            <v>5.18</v>
          </cell>
          <cell r="G119" t="str">
            <v>m2</v>
          </cell>
          <cell r="H119">
            <v>4</v>
          </cell>
          <cell r="I119" t="str">
            <v>20 600X1200 PL/36 10</v>
          </cell>
          <cell r="J119" t="str">
            <v>PL/36 10</v>
          </cell>
          <cell r="K119" t="str">
            <v>HD</v>
          </cell>
          <cell r="L119">
            <v>20</v>
          </cell>
          <cell r="M119">
            <v>600</v>
          </cell>
          <cell r="N119">
            <v>1200</v>
          </cell>
          <cell r="O119">
            <v>36</v>
          </cell>
          <cell r="P119">
            <v>10</v>
          </cell>
          <cell r="Q119">
            <v>481.73999999999995</v>
          </cell>
        </row>
        <row r="120">
          <cell r="A120">
            <v>8560347</v>
          </cell>
          <cell r="B120" t="str">
            <v>Linio 18 140 600X1200 PL/24 2</v>
          </cell>
          <cell r="C120" t="str">
            <v>PAROC Linio 18 Rendered Facade Slab</v>
          </cell>
          <cell r="D120" t="str">
            <v>Rendered facades</v>
          </cell>
          <cell r="E120">
            <v>34.56</v>
          </cell>
          <cell r="F120">
            <v>4.84</v>
          </cell>
          <cell r="G120" t="str">
            <v>m2</v>
          </cell>
          <cell r="H120">
            <v>4</v>
          </cell>
          <cell r="I120" t="str">
            <v>140 600X1200 PL/24 2</v>
          </cell>
          <cell r="J120" t="str">
            <v>PL/24 2</v>
          </cell>
          <cell r="K120" t="str">
            <v>HD</v>
          </cell>
          <cell r="L120">
            <v>140</v>
          </cell>
          <cell r="M120">
            <v>600</v>
          </cell>
          <cell r="N120">
            <v>1200</v>
          </cell>
          <cell r="O120">
            <v>24</v>
          </cell>
          <cell r="P120">
            <v>2</v>
          </cell>
          <cell r="Q120">
            <v>450.12</v>
          </cell>
        </row>
        <row r="121">
          <cell r="A121">
            <v>8560345</v>
          </cell>
          <cell r="B121" t="str">
            <v>Linio 18 160 600X1200 PL/21 2</v>
          </cell>
          <cell r="C121" t="str">
            <v>PAROC Linio 18 Rendered Facade Slab</v>
          </cell>
          <cell r="D121" t="str">
            <v>Rendered facades</v>
          </cell>
          <cell r="E121">
            <v>30.24</v>
          </cell>
          <cell r="F121">
            <v>4.84</v>
          </cell>
          <cell r="G121" t="str">
            <v>m2</v>
          </cell>
          <cell r="H121">
            <v>4</v>
          </cell>
          <cell r="I121" t="str">
            <v>160 600X1200 PL/21 2</v>
          </cell>
          <cell r="J121" t="str">
            <v>PL/21 2</v>
          </cell>
          <cell r="K121" t="str">
            <v>HD</v>
          </cell>
          <cell r="L121">
            <v>160</v>
          </cell>
          <cell r="M121">
            <v>600</v>
          </cell>
          <cell r="N121">
            <v>1200</v>
          </cell>
          <cell r="O121">
            <v>21</v>
          </cell>
          <cell r="P121">
            <v>2</v>
          </cell>
          <cell r="Q121">
            <v>450.12</v>
          </cell>
        </row>
        <row r="122">
          <cell r="A122">
            <v>8561597</v>
          </cell>
          <cell r="B122" t="str">
            <v>WAS 120 130 600X1200 BP/24 6</v>
          </cell>
          <cell r="C122" t="str">
            <v>PAROC WAS 120 Wall Slab</v>
          </cell>
          <cell r="D122" t="str">
            <v>Wall slabs &amp; boards</v>
          </cell>
          <cell r="E122">
            <v>103.68</v>
          </cell>
          <cell r="F122">
            <v>13.48</v>
          </cell>
          <cell r="G122" t="str">
            <v>m2</v>
          </cell>
          <cell r="H122">
            <v>4</v>
          </cell>
          <cell r="I122" t="str">
            <v>130 600X1200 BP/24 6</v>
          </cell>
          <cell r="J122" t="str">
            <v>BP/24 6</v>
          </cell>
          <cell r="K122" t="str">
            <v>EXL</v>
          </cell>
          <cell r="L122">
            <v>130</v>
          </cell>
          <cell r="M122">
            <v>600</v>
          </cell>
          <cell r="N122">
            <v>1200</v>
          </cell>
          <cell r="O122">
            <v>24</v>
          </cell>
          <cell r="P122">
            <v>6</v>
          </cell>
          <cell r="Q122">
            <v>404.40000000000003</v>
          </cell>
        </row>
        <row r="123">
          <cell r="A123">
            <v>8561629</v>
          </cell>
          <cell r="B123" t="str">
            <v>SSB 4 80 600X1200 PL/30 3</v>
          </cell>
          <cell r="C123" t="str">
            <v>PAROC SSB 4 Step Sound Board</v>
          </cell>
          <cell r="D123" t="str">
            <v>Impact sound insulation</v>
          </cell>
          <cell r="E123">
            <v>64.8</v>
          </cell>
          <cell r="F123">
            <v>5.18</v>
          </cell>
          <cell r="G123" t="str">
            <v>m2</v>
          </cell>
          <cell r="H123">
            <v>4</v>
          </cell>
          <cell r="I123" t="str">
            <v>80 600X1200 PL/30 3</v>
          </cell>
          <cell r="J123" t="str">
            <v>PL/30 3</v>
          </cell>
          <cell r="K123" t="str">
            <v>HD</v>
          </cell>
          <cell r="L123">
            <v>80</v>
          </cell>
          <cell r="M123">
            <v>600</v>
          </cell>
          <cell r="N123">
            <v>1200</v>
          </cell>
          <cell r="O123">
            <v>30</v>
          </cell>
          <cell r="P123">
            <v>3</v>
          </cell>
          <cell r="Q123">
            <v>497.28</v>
          </cell>
        </row>
        <row r="124">
          <cell r="A124">
            <v>8542103</v>
          </cell>
          <cell r="B124" t="str">
            <v>WAS 50tb 80 600X1200 BP/16 6</v>
          </cell>
          <cell r="C124" t="str">
            <v>PAROC WAS 50tb Wall Slab</v>
          </cell>
          <cell r="D124" t="str">
            <v>Wall slabs &amp; boards</v>
          </cell>
          <cell r="E124">
            <v>69.12</v>
          </cell>
          <cell r="F124">
            <v>5.53</v>
          </cell>
          <cell r="G124" t="str">
            <v>m2</v>
          </cell>
          <cell r="H124">
            <v>4</v>
          </cell>
          <cell r="I124" t="str">
            <v>80 600X1200 BP/16 6</v>
          </cell>
          <cell r="J124" t="str">
            <v>BP/16 6</v>
          </cell>
          <cell r="K124" t="str">
            <v>HD</v>
          </cell>
          <cell r="L124">
            <v>80</v>
          </cell>
          <cell r="M124">
            <v>600</v>
          </cell>
          <cell r="N124">
            <v>1200</v>
          </cell>
          <cell r="O124">
            <v>16</v>
          </cell>
          <cell r="P124">
            <v>6</v>
          </cell>
          <cell r="Q124">
            <v>248.85000000000002</v>
          </cell>
        </row>
        <row r="125">
          <cell r="A125">
            <v>8561891</v>
          </cell>
          <cell r="B125" t="str">
            <v>WAS 50tb 50 600X1000 BP/16 10</v>
          </cell>
          <cell r="C125" t="str">
            <v>PAROC WAS 50tb Wall Slab</v>
          </cell>
          <cell r="D125" t="str">
            <v>Wall slabs &amp; boards</v>
          </cell>
          <cell r="E125">
            <v>96</v>
          </cell>
          <cell r="F125">
            <v>4.8</v>
          </cell>
          <cell r="G125" t="str">
            <v>m2</v>
          </cell>
          <cell r="H125">
            <v>4</v>
          </cell>
          <cell r="I125" t="str">
            <v>50 600X1000 BP/16 10</v>
          </cell>
          <cell r="J125" t="str">
            <v>BP/16 10</v>
          </cell>
          <cell r="K125" t="str">
            <v>HD</v>
          </cell>
          <cell r="L125">
            <v>50</v>
          </cell>
          <cell r="M125">
            <v>600</v>
          </cell>
          <cell r="N125">
            <v>1000</v>
          </cell>
          <cell r="O125">
            <v>16</v>
          </cell>
          <cell r="P125">
            <v>10</v>
          </cell>
          <cell r="Q125">
            <v>216</v>
          </cell>
        </row>
        <row r="126">
          <cell r="A126">
            <v>8556450</v>
          </cell>
          <cell r="B126" t="str">
            <v>ROS 30 150 600X1200 PL/21 2</v>
          </cell>
          <cell r="C126" t="str">
            <v>PAROC ROS 30 Roof Slab</v>
          </cell>
          <cell r="D126" t="str">
            <v>Roof - Slabs and boards</v>
          </cell>
          <cell r="E126">
            <v>30.24</v>
          </cell>
          <cell r="F126">
            <v>4.54</v>
          </cell>
          <cell r="G126" t="str">
            <v>m2</v>
          </cell>
          <cell r="H126">
            <v>4</v>
          </cell>
          <cell r="I126" t="str">
            <v>150 600X1200 PL/21 2</v>
          </cell>
          <cell r="J126" t="str">
            <v>PL/21 2</v>
          </cell>
          <cell r="K126" t="str">
            <v>HD</v>
          </cell>
          <cell r="L126">
            <v>150</v>
          </cell>
          <cell r="M126">
            <v>600</v>
          </cell>
          <cell r="N126">
            <v>1200</v>
          </cell>
          <cell r="O126">
            <v>21</v>
          </cell>
          <cell r="P126">
            <v>2</v>
          </cell>
          <cell r="Q126">
            <v>385.9</v>
          </cell>
        </row>
        <row r="127">
          <cell r="A127">
            <v>8538668</v>
          </cell>
          <cell r="B127" t="str">
            <v>eXtra plus 100 565X1220 BP/16 6</v>
          </cell>
          <cell r="C127" t="str">
            <v>PAROC eXtra plus Flexible slab</v>
          </cell>
          <cell r="D127" t="str">
            <v>Flexible slabs &amp; mats</v>
          </cell>
          <cell r="E127">
            <v>66.239999999999995</v>
          </cell>
          <cell r="F127">
            <v>6.62</v>
          </cell>
          <cell r="G127" t="str">
            <v>m2</v>
          </cell>
          <cell r="H127">
            <v>4</v>
          </cell>
          <cell r="I127" t="str">
            <v>100 565X1220 BP/16 6</v>
          </cell>
          <cell r="J127" t="str">
            <v>BP/16 6</v>
          </cell>
          <cell r="K127" t="str">
            <v>MD</v>
          </cell>
          <cell r="L127">
            <v>100</v>
          </cell>
          <cell r="M127">
            <v>565</v>
          </cell>
          <cell r="N127">
            <v>1220</v>
          </cell>
          <cell r="O127">
            <v>16</v>
          </cell>
          <cell r="P127">
            <v>6</v>
          </cell>
          <cell r="Q127">
            <v>264.8</v>
          </cell>
        </row>
        <row r="128">
          <cell r="A128">
            <v>8563363</v>
          </cell>
          <cell r="B128" t="str">
            <v>WAS 120 150 600X1200 BP/24 5</v>
          </cell>
          <cell r="C128" t="str">
            <v>PAROC WAS 120 Wall Slab</v>
          </cell>
          <cell r="D128" t="str">
            <v>Wall slabs &amp; boards</v>
          </cell>
          <cell r="E128">
            <v>86.4</v>
          </cell>
          <cell r="F128">
            <v>12.96</v>
          </cell>
          <cell r="G128" t="str">
            <v>m2</v>
          </cell>
          <cell r="H128">
            <v>4</v>
          </cell>
          <cell r="I128" t="str">
            <v>150 600X1200 BP/24 5</v>
          </cell>
          <cell r="J128" t="str">
            <v>BP/24 5</v>
          </cell>
          <cell r="K128" t="str">
            <v>EXL</v>
          </cell>
          <cell r="L128">
            <v>150</v>
          </cell>
          <cell r="M128">
            <v>600</v>
          </cell>
          <cell r="N128">
            <v>1200</v>
          </cell>
          <cell r="O128">
            <v>24</v>
          </cell>
          <cell r="P128">
            <v>5</v>
          </cell>
          <cell r="Q128">
            <v>388.8</v>
          </cell>
        </row>
        <row r="129">
          <cell r="A129">
            <v>8516385</v>
          </cell>
          <cell r="B129" t="str">
            <v>WAS 50 70 600X1200 BP/16 7</v>
          </cell>
          <cell r="C129" t="str">
            <v>PAROC WAS 50 Wall Slab</v>
          </cell>
          <cell r="D129" t="str">
            <v>Wall slabs &amp; boards</v>
          </cell>
          <cell r="E129">
            <v>80.64</v>
          </cell>
          <cell r="F129">
            <v>5.64</v>
          </cell>
          <cell r="G129" t="str">
            <v>m2</v>
          </cell>
          <cell r="H129">
            <v>4</v>
          </cell>
          <cell r="I129" t="str">
            <v>70 600X1200 BP/16 7</v>
          </cell>
          <cell r="J129" t="str">
            <v>BP/16 7</v>
          </cell>
          <cell r="K129" t="str">
            <v>HD</v>
          </cell>
          <cell r="L129">
            <v>70</v>
          </cell>
          <cell r="M129">
            <v>600</v>
          </cell>
          <cell r="N129">
            <v>1200</v>
          </cell>
          <cell r="O129">
            <v>16</v>
          </cell>
          <cell r="P129">
            <v>7</v>
          </cell>
          <cell r="Q129">
            <v>253.79999999999998</v>
          </cell>
        </row>
        <row r="130">
          <cell r="A130">
            <v>8539865</v>
          </cell>
          <cell r="B130" t="str">
            <v>ROS 30 60 600X1200 PL/27 4</v>
          </cell>
          <cell r="C130" t="str">
            <v>PAROC ROS 30 Roof Slab</v>
          </cell>
          <cell r="D130" t="str">
            <v>Roof - Slabs and boards</v>
          </cell>
          <cell r="E130">
            <v>77.760000000000005</v>
          </cell>
          <cell r="F130">
            <v>4.67</v>
          </cell>
          <cell r="G130" t="str">
            <v>m2</v>
          </cell>
          <cell r="H130">
            <v>4</v>
          </cell>
          <cell r="I130" t="str">
            <v>60 600X1200 PL/27 4</v>
          </cell>
          <cell r="J130" t="str">
            <v>PL/27 4</v>
          </cell>
          <cell r="K130" t="str">
            <v>HD</v>
          </cell>
          <cell r="L130">
            <v>60</v>
          </cell>
          <cell r="M130">
            <v>600</v>
          </cell>
          <cell r="N130">
            <v>1200</v>
          </cell>
          <cell r="O130">
            <v>27</v>
          </cell>
          <cell r="P130">
            <v>4</v>
          </cell>
          <cell r="Q130">
            <v>396.95</v>
          </cell>
        </row>
        <row r="131">
          <cell r="A131">
            <v>8565577</v>
          </cell>
          <cell r="B131" t="str">
            <v>FPS 17 100 600X1200 PL/36 2</v>
          </cell>
          <cell r="C131" t="str">
            <v>PAROC FPS 17 Fire Protection Slab</v>
          </cell>
          <cell r="D131" t="str">
            <v>Fire protection</v>
          </cell>
          <cell r="E131">
            <v>51.84</v>
          </cell>
          <cell r="F131">
            <v>5.18</v>
          </cell>
          <cell r="G131" t="str">
            <v>m2</v>
          </cell>
          <cell r="H131">
            <v>4</v>
          </cell>
          <cell r="I131" t="str">
            <v>100 600X1200 PL/36 2</v>
          </cell>
          <cell r="J131" t="str">
            <v>PL/36 2</v>
          </cell>
          <cell r="K131" t="str">
            <v>HD</v>
          </cell>
          <cell r="L131">
            <v>100</v>
          </cell>
          <cell r="M131">
            <v>600</v>
          </cell>
          <cell r="N131">
            <v>1200</v>
          </cell>
          <cell r="O131">
            <v>36</v>
          </cell>
          <cell r="P131">
            <v>2</v>
          </cell>
          <cell r="Q131">
            <v>880.59999999999991</v>
          </cell>
        </row>
        <row r="132">
          <cell r="A132">
            <v>8551936</v>
          </cell>
          <cell r="B132" t="str">
            <v>WAS 25 150 600X1200 PL/24 2</v>
          </cell>
          <cell r="C132" t="str">
            <v>PAROC WAS 25 Wall Slab</v>
          </cell>
          <cell r="D132" t="str">
            <v>Wall slabs &amp; boards</v>
          </cell>
          <cell r="E132">
            <v>34.56</v>
          </cell>
          <cell r="F132">
            <v>5.18</v>
          </cell>
          <cell r="G132" t="str">
            <v>m2</v>
          </cell>
          <cell r="H132">
            <v>4</v>
          </cell>
          <cell r="I132" t="str">
            <v>150 600X1200 PL/24 2</v>
          </cell>
          <cell r="J132" t="str">
            <v>PL/24 2</v>
          </cell>
          <cell r="K132" t="str">
            <v>HD</v>
          </cell>
          <cell r="L132">
            <v>150</v>
          </cell>
          <cell r="M132">
            <v>600</v>
          </cell>
          <cell r="N132">
            <v>1200</v>
          </cell>
          <cell r="O132">
            <v>24</v>
          </cell>
          <cell r="P132">
            <v>2</v>
          </cell>
          <cell r="Q132">
            <v>414.4</v>
          </cell>
        </row>
        <row r="133">
          <cell r="A133">
            <v>8531268</v>
          </cell>
          <cell r="B133" t="str">
            <v>WAS 25t 80 600X1200 PL/21 4</v>
          </cell>
          <cell r="C133" t="str">
            <v>PAROC WAS 25t Wall Slab</v>
          </cell>
          <cell r="D133" t="str">
            <v>Wall slabs &amp; boards</v>
          </cell>
          <cell r="E133">
            <v>60.48</v>
          </cell>
          <cell r="F133">
            <v>4.84</v>
          </cell>
          <cell r="G133" t="str">
            <v>m2</v>
          </cell>
          <cell r="H133">
            <v>4</v>
          </cell>
          <cell r="I133" t="str">
            <v>80 600X1200 PL/21 4</v>
          </cell>
          <cell r="J133" t="str">
            <v>PL/21 4</v>
          </cell>
          <cell r="K133" t="str">
            <v>HD</v>
          </cell>
          <cell r="L133">
            <v>80</v>
          </cell>
          <cell r="M133">
            <v>600</v>
          </cell>
          <cell r="N133">
            <v>1200</v>
          </cell>
          <cell r="O133">
            <v>21</v>
          </cell>
          <cell r="P133">
            <v>4</v>
          </cell>
          <cell r="Q133">
            <v>387.2</v>
          </cell>
        </row>
        <row r="134">
          <cell r="A134">
            <v>8540761</v>
          </cell>
          <cell r="B134" t="str">
            <v>ROS 60 160 1200X1800 PL/14</v>
          </cell>
          <cell r="C134" t="str">
            <v>PAROC ROS 60 Roof Slab</v>
          </cell>
          <cell r="D134" t="str">
            <v>Roof - Slabs and boards</v>
          </cell>
          <cell r="E134">
            <v>30.24</v>
          </cell>
          <cell r="F134">
            <v>4.84</v>
          </cell>
          <cell r="G134" t="str">
            <v>m2</v>
          </cell>
          <cell r="H134">
            <v>4</v>
          </cell>
          <cell r="I134" t="str">
            <v>160 1200X1800 PL/14</v>
          </cell>
          <cell r="J134" t="str">
            <v>PL/14</v>
          </cell>
          <cell r="K134" t="str">
            <v>HD</v>
          </cell>
          <cell r="L134">
            <v>160</v>
          </cell>
          <cell r="M134">
            <v>1200</v>
          </cell>
          <cell r="N134">
            <v>1800</v>
          </cell>
          <cell r="O134">
            <v>14</v>
          </cell>
          <cell r="Q134">
            <v>580.79999999999995</v>
          </cell>
        </row>
        <row r="135">
          <cell r="A135">
            <v>8548886</v>
          </cell>
          <cell r="B135" t="str">
            <v>Linio 15 90 600X1200 PL/24 3</v>
          </cell>
          <cell r="C135" t="str">
            <v>PAROC Linio 15 Rendered Facade Slab</v>
          </cell>
          <cell r="D135" t="str">
            <v>Rendered facades</v>
          </cell>
          <cell r="E135">
            <v>51.84</v>
          </cell>
          <cell r="F135">
            <v>4.67</v>
          </cell>
          <cell r="G135" t="str">
            <v>m2</v>
          </cell>
          <cell r="H135">
            <v>4</v>
          </cell>
          <cell r="I135" t="str">
            <v>90 600X1200 PL/24 3</v>
          </cell>
          <cell r="J135" t="str">
            <v>PL/24 3</v>
          </cell>
          <cell r="K135" t="str">
            <v>HD</v>
          </cell>
          <cell r="L135">
            <v>90</v>
          </cell>
          <cell r="M135">
            <v>600</v>
          </cell>
          <cell r="N135">
            <v>1200</v>
          </cell>
          <cell r="O135">
            <v>24</v>
          </cell>
          <cell r="P135">
            <v>3</v>
          </cell>
          <cell r="Q135">
            <v>406.29</v>
          </cell>
        </row>
        <row r="136">
          <cell r="A136">
            <v>8559135</v>
          </cell>
          <cell r="B136" t="str">
            <v>WAS 35 130 600X1200 PL/18 3</v>
          </cell>
          <cell r="C136" t="str">
            <v>PAROC WAS 35 Wall Slab</v>
          </cell>
          <cell r="D136" t="str">
            <v>Wall slabs &amp; boards</v>
          </cell>
          <cell r="E136">
            <v>38.880000000000003</v>
          </cell>
          <cell r="F136">
            <v>5.05</v>
          </cell>
          <cell r="G136" t="str">
            <v>m2</v>
          </cell>
          <cell r="H136">
            <v>4</v>
          </cell>
          <cell r="I136" t="str">
            <v>130 600X1200 PL/18 3</v>
          </cell>
          <cell r="J136" t="str">
            <v>PL/18 3</v>
          </cell>
          <cell r="K136" t="str">
            <v>HD</v>
          </cell>
          <cell r="L136">
            <v>130</v>
          </cell>
          <cell r="M136">
            <v>600</v>
          </cell>
          <cell r="N136">
            <v>1200</v>
          </cell>
          <cell r="O136">
            <v>18</v>
          </cell>
          <cell r="P136">
            <v>3</v>
          </cell>
          <cell r="Q136">
            <v>353.5</v>
          </cell>
        </row>
        <row r="137">
          <cell r="A137">
            <v>8550068</v>
          </cell>
          <cell r="B137" t="str">
            <v>WAS 25tb 120 600X1200 PL/15 4</v>
          </cell>
          <cell r="C137" t="str">
            <v>PAROC WAS 25tb Wall Slab</v>
          </cell>
          <cell r="D137" t="str">
            <v>Wall slabs &amp; boards</v>
          </cell>
          <cell r="E137">
            <v>43.2</v>
          </cell>
          <cell r="F137">
            <v>5.18</v>
          </cell>
          <cell r="G137" t="str">
            <v>m2</v>
          </cell>
          <cell r="H137">
            <v>4</v>
          </cell>
          <cell r="I137" t="str">
            <v>120 600X1200 PL/15 4</v>
          </cell>
          <cell r="J137" t="str">
            <v>PL/15 4</v>
          </cell>
          <cell r="K137" t="str">
            <v>HD</v>
          </cell>
          <cell r="L137">
            <v>120</v>
          </cell>
          <cell r="M137">
            <v>600</v>
          </cell>
          <cell r="N137">
            <v>1200</v>
          </cell>
          <cell r="O137">
            <v>15</v>
          </cell>
          <cell r="P137">
            <v>4</v>
          </cell>
          <cell r="Q137">
            <v>414.4</v>
          </cell>
        </row>
        <row r="138">
          <cell r="A138">
            <v>8566653</v>
          </cell>
          <cell r="B138" t="str">
            <v>WAS 120 160 600X1200 BP/24 5</v>
          </cell>
          <cell r="C138" t="str">
            <v>PAROC WAS 120 Wall Slab</v>
          </cell>
          <cell r="D138" t="str">
            <v>Wall slabs &amp; boards</v>
          </cell>
          <cell r="E138">
            <v>86.4</v>
          </cell>
          <cell r="F138">
            <v>13.82</v>
          </cell>
          <cell r="G138" t="str">
            <v>m2</v>
          </cell>
          <cell r="H138">
            <v>4</v>
          </cell>
          <cell r="I138" t="str">
            <v>160 600X1200 BP/24 5</v>
          </cell>
          <cell r="J138" t="str">
            <v>BP/24 5</v>
          </cell>
          <cell r="K138" t="str">
            <v>EXL</v>
          </cell>
          <cell r="L138">
            <v>160</v>
          </cell>
          <cell r="M138">
            <v>600</v>
          </cell>
          <cell r="N138">
            <v>1200</v>
          </cell>
          <cell r="O138">
            <v>24</v>
          </cell>
          <cell r="P138">
            <v>5</v>
          </cell>
          <cell r="Q138">
            <v>414.6</v>
          </cell>
        </row>
        <row r="139">
          <cell r="A139">
            <v>8566741</v>
          </cell>
          <cell r="B139" t="str">
            <v>Linio 18 210 600X1200 PL/33 1</v>
          </cell>
          <cell r="C139" t="str">
            <v>PAROC Linio 18 Rendered Facade Slab</v>
          </cell>
          <cell r="D139" t="str">
            <v>Rendered facades</v>
          </cell>
          <cell r="E139">
            <v>23.76</v>
          </cell>
          <cell r="F139">
            <v>4.99</v>
          </cell>
          <cell r="G139" t="str">
            <v>m2</v>
          </cell>
          <cell r="H139">
            <v>4</v>
          </cell>
          <cell r="I139" t="str">
            <v>210 600X1200 PL/33 1</v>
          </cell>
          <cell r="J139" t="str">
            <v>PL/33 1</v>
          </cell>
          <cell r="K139" t="str">
            <v>HD</v>
          </cell>
          <cell r="L139">
            <v>210</v>
          </cell>
          <cell r="M139">
            <v>600</v>
          </cell>
          <cell r="N139">
            <v>1200</v>
          </cell>
          <cell r="O139">
            <v>33</v>
          </cell>
          <cell r="P139">
            <v>1</v>
          </cell>
          <cell r="Q139">
            <v>464.07</v>
          </cell>
        </row>
        <row r="140">
          <cell r="A140">
            <v>8551049</v>
          </cell>
          <cell r="B140" t="str">
            <v>ROS 30 220 1200X1800 PL/11</v>
          </cell>
          <cell r="C140" t="str">
            <v>PAROC ROS 30 Roof Slab</v>
          </cell>
          <cell r="D140" t="str">
            <v>Roof - Slabs and boards</v>
          </cell>
          <cell r="E140">
            <v>23.76</v>
          </cell>
          <cell r="F140">
            <v>5.23</v>
          </cell>
          <cell r="G140" t="str">
            <v>m2</v>
          </cell>
          <cell r="H140">
            <v>4</v>
          </cell>
          <cell r="I140" t="str">
            <v>220 1200X1800 PL/11</v>
          </cell>
          <cell r="J140" t="str">
            <v>PL/11</v>
          </cell>
          <cell r="K140" t="str">
            <v>HD</v>
          </cell>
          <cell r="L140">
            <v>220</v>
          </cell>
          <cell r="M140">
            <v>1200</v>
          </cell>
          <cell r="N140">
            <v>1800</v>
          </cell>
          <cell r="O140">
            <v>11</v>
          </cell>
          <cell r="Q140">
            <v>444.55</v>
          </cell>
        </row>
        <row r="141">
          <cell r="A141">
            <v>8569452</v>
          </cell>
          <cell r="B141" t="str">
            <v>ROL 40 120 200X1480 PL/108</v>
          </cell>
          <cell r="C141" t="str">
            <v>PAROC ROL 40 Roof Lamella</v>
          </cell>
          <cell r="D141" t="str">
            <v>Roof - Combination pallets</v>
          </cell>
          <cell r="E141">
            <v>31.96</v>
          </cell>
          <cell r="F141">
            <v>3.84</v>
          </cell>
          <cell r="G141" t="str">
            <v>m2</v>
          </cell>
          <cell r="H141">
            <v>4</v>
          </cell>
          <cell r="I141" t="str">
            <v>120 200X1480 PL/108</v>
          </cell>
          <cell r="J141" t="str">
            <v>PL/108</v>
          </cell>
          <cell r="K141" t="str">
            <v>HD</v>
          </cell>
          <cell r="L141">
            <v>120</v>
          </cell>
          <cell r="M141">
            <v>200</v>
          </cell>
          <cell r="N141">
            <v>1480</v>
          </cell>
          <cell r="O141">
            <v>108</v>
          </cell>
          <cell r="Q141">
            <v>280.32</v>
          </cell>
        </row>
        <row r="142">
          <cell r="A142">
            <v>8569747</v>
          </cell>
          <cell r="B142" t="str">
            <v>ROS 40 220 1200X1800 PL/11</v>
          </cell>
          <cell r="C142" t="str">
            <v>PAROC ROS 40 Roof Slab</v>
          </cell>
          <cell r="D142" t="str">
            <v>Roof - Slabs and boards</v>
          </cell>
          <cell r="E142">
            <v>23.76</v>
          </cell>
          <cell r="F142">
            <v>5.23</v>
          </cell>
          <cell r="G142" t="str">
            <v>m2</v>
          </cell>
          <cell r="H142">
            <v>4</v>
          </cell>
          <cell r="I142" t="str">
            <v>220 1200X1800 PL/11</v>
          </cell>
          <cell r="J142" t="str">
            <v>PL/11</v>
          </cell>
          <cell r="K142" t="str">
            <v>HD</v>
          </cell>
          <cell r="L142">
            <v>220</v>
          </cell>
          <cell r="M142">
            <v>1200</v>
          </cell>
          <cell r="N142">
            <v>1800</v>
          </cell>
          <cell r="O142">
            <v>11</v>
          </cell>
          <cell r="Q142">
            <v>502.08000000000004</v>
          </cell>
        </row>
        <row r="143">
          <cell r="A143">
            <v>8550066</v>
          </cell>
          <cell r="B143" t="str">
            <v>WAS 35 100 600X1200 PL/24 3</v>
          </cell>
          <cell r="C143" t="str">
            <v>PAROC WAS 35 Wall Slab</v>
          </cell>
          <cell r="D143" t="str">
            <v>Wall slabs &amp; boards</v>
          </cell>
          <cell r="E143">
            <v>51.84</v>
          </cell>
          <cell r="F143">
            <v>5.18</v>
          </cell>
          <cell r="G143" t="str">
            <v>m2</v>
          </cell>
          <cell r="H143">
            <v>4</v>
          </cell>
          <cell r="I143" t="str">
            <v>100 600X1200 PL/24 3</v>
          </cell>
          <cell r="J143" t="str">
            <v>PL/24 3</v>
          </cell>
          <cell r="K143" t="str">
            <v>HD</v>
          </cell>
          <cell r="L143">
            <v>100</v>
          </cell>
          <cell r="M143">
            <v>600</v>
          </cell>
          <cell r="N143">
            <v>1200</v>
          </cell>
          <cell r="O143">
            <v>24</v>
          </cell>
          <cell r="P143">
            <v>3</v>
          </cell>
          <cell r="Q143">
            <v>362.59999999999997</v>
          </cell>
        </row>
        <row r="144">
          <cell r="A144">
            <v>8516733</v>
          </cell>
          <cell r="B144" t="str">
            <v>ROB 80 20 1200X1800 PL/54</v>
          </cell>
          <cell r="C144" t="str">
            <v>PAROC ROB 80 Roof Board</v>
          </cell>
          <cell r="D144" t="str">
            <v>Roof - Slabs and boards</v>
          </cell>
          <cell r="E144">
            <v>116.64</v>
          </cell>
          <cell r="F144">
            <v>2.33</v>
          </cell>
          <cell r="G144" t="str">
            <v>m2</v>
          </cell>
          <cell r="H144">
            <v>4</v>
          </cell>
          <cell r="I144" t="str">
            <v>20 1200X1800 PL/54</v>
          </cell>
          <cell r="J144" t="str">
            <v>PL/54</v>
          </cell>
          <cell r="K144" t="str">
            <v>HD</v>
          </cell>
          <cell r="L144">
            <v>20</v>
          </cell>
          <cell r="M144">
            <v>1200</v>
          </cell>
          <cell r="N144">
            <v>1800</v>
          </cell>
          <cell r="O144">
            <v>54</v>
          </cell>
          <cell r="Q144">
            <v>407.75</v>
          </cell>
        </row>
        <row r="145">
          <cell r="A145">
            <v>8500914</v>
          </cell>
          <cell r="B145" t="str">
            <v>ROS 30 70 1200X1800 PL/32</v>
          </cell>
          <cell r="C145" t="str">
            <v>PAROC ROS 30 Roof Slab</v>
          </cell>
          <cell r="D145" t="str">
            <v>Roof - Slabs and boards</v>
          </cell>
          <cell r="E145">
            <v>69.12</v>
          </cell>
          <cell r="F145">
            <v>4.84</v>
          </cell>
          <cell r="G145" t="str">
            <v>m2</v>
          </cell>
          <cell r="H145">
            <v>4</v>
          </cell>
          <cell r="I145" t="str">
            <v>70 1200X1800 PL/32</v>
          </cell>
          <cell r="J145" t="str">
            <v>PL/32</v>
          </cell>
          <cell r="K145" t="str">
            <v>HD</v>
          </cell>
          <cell r="L145">
            <v>70</v>
          </cell>
          <cell r="M145">
            <v>1200</v>
          </cell>
          <cell r="N145">
            <v>1800</v>
          </cell>
          <cell r="O145">
            <v>32</v>
          </cell>
          <cell r="Q145">
            <v>411.4</v>
          </cell>
        </row>
        <row r="146">
          <cell r="A146">
            <v>8500926</v>
          </cell>
          <cell r="B146" t="str">
            <v>ROS 30 60 1200X1800 PL/37</v>
          </cell>
          <cell r="C146" t="str">
            <v>PAROC ROS 30 Roof Slab</v>
          </cell>
          <cell r="D146" t="str">
            <v>Roof - Slabs and boards</v>
          </cell>
          <cell r="E146">
            <v>79.92</v>
          </cell>
          <cell r="F146">
            <v>4.8</v>
          </cell>
          <cell r="G146" t="str">
            <v>m2</v>
          </cell>
          <cell r="H146">
            <v>4</v>
          </cell>
          <cell r="I146" t="str">
            <v>60 1200X1800 PL/37</v>
          </cell>
          <cell r="J146" t="str">
            <v>PL/37</v>
          </cell>
          <cell r="K146" t="str">
            <v>HD</v>
          </cell>
          <cell r="L146">
            <v>60</v>
          </cell>
          <cell r="M146">
            <v>1200</v>
          </cell>
          <cell r="N146">
            <v>1800</v>
          </cell>
          <cell r="O146">
            <v>37</v>
          </cell>
          <cell r="Q146">
            <v>408</v>
          </cell>
        </row>
        <row r="147">
          <cell r="A147">
            <v>8508716</v>
          </cell>
          <cell r="B147" t="str">
            <v>ROB 60 30 1200X1800 PL/75</v>
          </cell>
          <cell r="C147" t="str">
            <v>PAROC ROB 60 Roof Board</v>
          </cell>
          <cell r="D147" t="str">
            <v>Roof - Slabs and boards</v>
          </cell>
          <cell r="E147">
            <v>162</v>
          </cell>
          <cell r="F147">
            <v>4.8600000000000003</v>
          </cell>
          <cell r="G147" t="str">
            <v>m2</v>
          </cell>
          <cell r="H147">
            <v>4</v>
          </cell>
          <cell r="I147" t="str">
            <v>30 1200X1800 PL/75</v>
          </cell>
          <cell r="J147" t="str">
            <v>PL/75</v>
          </cell>
          <cell r="K147" t="str">
            <v>HD</v>
          </cell>
          <cell r="L147">
            <v>30</v>
          </cell>
          <cell r="M147">
            <v>1200</v>
          </cell>
          <cell r="N147">
            <v>1800</v>
          </cell>
          <cell r="O147">
            <v>75</v>
          </cell>
          <cell r="Q147">
            <v>714.42000000000007</v>
          </cell>
        </row>
        <row r="148">
          <cell r="A148">
            <v>8535609</v>
          </cell>
          <cell r="B148" t="str">
            <v>FPS 17 20 600X1200 PL/33 10</v>
          </cell>
          <cell r="C148" t="str">
            <v>PAROC FPS 17 Fire Protection Slab</v>
          </cell>
          <cell r="D148" t="str">
            <v>Fire protection</v>
          </cell>
          <cell r="E148">
            <v>237.6</v>
          </cell>
          <cell r="F148">
            <v>4.75</v>
          </cell>
          <cell r="G148" t="str">
            <v>m2</v>
          </cell>
          <cell r="H148">
            <v>4</v>
          </cell>
          <cell r="I148" t="str">
            <v>20 600X1200 PL/33 10</v>
          </cell>
          <cell r="J148" t="str">
            <v>PL/33 10</v>
          </cell>
          <cell r="K148" t="str">
            <v>HD</v>
          </cell>
          <cell r="L148">
            <v>20</v>
          </cell>
          <cell r="M148">
            <v>600</v>
          </cell>
          <cell r="N148">
            <v>1200</v>
          </cell>
          <cell r="O148">
            <v>33</v>
          </cell>
          <cell r="P148">
            <v>10</v>
          </cell>
          <cell r="Q148">
            <v>807.5</v>
          </cell>
        </row>
        <row r="149">
          <cell r="A149">
            <v>8508711</v>
          </cell>
          <cell r="B149" t="str">
            <v>ROS 40 50 1200X1800 PL/45</v>
          </cell>
          <cell r="C149" t="str">
            <v>PAROC ROS 40 Roof Slab</v>
          </cell>
          <cell r="D149" t="str">
            <v>Roof - Slabs and boards</v>
          </cell>
          <cell r="E149">
            <v>97.2</v>
          </cell>
          <cell r="F149">
            <v>4.8600000000000003</v>
          </cell>
          <cell r="G149" t="str">
            <v>m2</v>
          </cell>
          <cell r="H149">
            <v>4</v>
          </cell>
          <cell r="I149" t="str">
            <v>50 1200X1800 PL/45</v>
          </cell>
          <cell r="J149" t="str">
            <v>PL/45</v>
          </cell>
          <cell r="K149" t="str">
            <v>HD</v>
          </cell>
          <cell r="L149">
            <v>50</v>
          </cell>
          <cell r="M149">
            <v>1200</v>
          </cell>
          <cell r="N149">
            <v>1800</v>
          </cell>
          <cell r="O149">
            <v>45</v>
          </cell>
          <cell r="Q149">
            <v>466.56000000000006</v>
          </cell>
        </row>
        <row r="150">
          <cell r="A150">
            <v>8525914</v>
          </cell>
          <cell r="B150" t="str">
            <v>ROS 40 170 1200X1800 PL/13</v>
          </cell>
          <cell r="C150" t="str">
            <v>PAROC ROS 40 Roof Slab</v>
          </cell>
          <cell r="D150" t="str">
            <v>Roof - Slabs and boards</v>
          </cell>
          <cell r="E150">
            <v>28.08</v>
          </cell>
          <cell r="F150">
            <v>4.7699999999999996</v>
          </cell>
          <cell r="G150" t="str">
            <v>m2</v>
          </cell>
          <cell r="H150">
            <v>4</v>
          </cell>
          <cell r="I150" t="str">
            <v>170 1200X1800 PL/13</v>
          </cell>
          <cell r="J150" t="str">
            <v>PL/13</v>
          </cell>
          <cell r="K150" t="str">
            <v>HD</v>
          </cell>
          <cell r="L150">
            <v>170</v>
          </cell>
          <cell r="M150">
            <v>1200</v>
          </cell>
          <cell r="N150">
            <v>1800</v>
          </cell>
          <cell r="O150">
            <v>13</v>
          </cell>
          <cell r="Q150">
            <v>457.91999999999996</v>
          </cell>
        </row>
        <row r="151">
          <cell r="A151">
            <v>8550219</v>
          </cell>
          <cell r="B151" t="str">
            <v>eXtra 170 600X1200 BP/24 4</v>
          </cell>
          <cell r="C151" t="str">
            <v>PAROC eXtra Flexible Slab</v>
          </cell>
          <cell r="D151" t="str">
            <v>Flexible slabs &amp; mats</v>
          </cell>
          <cell r="E151">
            <v>69.12</v>
          </cell>
          <cell r="F151">
            <v>11.75</v>
          </cell>
          <cell r="G151" t="str">
            <v>m2</v>
          </cell>
          <cell r="H151">
            <v>4</v>
          </cell>
          <cell r="I151" t="str">
            <v>170 600X1200 BP/24 4</v>
          </cell>
          <cell r="J151" t="str">
            <v>BP/24 4</v>
          </cell>
          <cell r="K151" t="str">
            <v>EXL</v>
          </cell>
          <cell r="L151">
            <v>170</v>
          </cell>
          <cell r="M151">
            <v>600</v>
          </cell>
          <cell r="N151">
            <v>1200</v>
          </cell>
          <cell r="O151">
            <v>24</v>
          </cell>
          <cell r="P151">
            <v>4</v>
          </cell>
          <cell r="Q151">
            <v>329</v>
          </cell>
        </row>
        <row r="152">
          <cell r="A152">
            <v>8550073</v>
          </cell>
          <cell r="B152" t="str">
            <v>WAS 35t 50 600X1200 PL/24 6</v>
          </cell>
          <cell r="C152" t="str">
            <v>PAROC WAS 35t Wall Slab</v>
          </cell>
          <cell r="D152" t="str">
            <v>Wall slabs &amp; boards</v>
          </cell>
          <cell r="E152">
            <v>103.68</v>
          </cell>
          <cell r="F152">
            <v>5.18</v>
          </cell>
          <cell r="G152" t="str">
            <v>m2</v>
          </cell>
          <cell r="H152">
            <v>4</v>
          </cell>
          <cell r="I152" t="str">
            <v>50 600X1200 PL/24 6</v>
          </cell>
          <cell r="J152" t="str">
            <v>PL/24 6</v>
          </cell>
          <cell r="K152" t="str">
            <v>HD</v>
          </cell>
          <cell r="L152">
            <v>50</v>
          </cell>
          <cell r="M152">
            <v>600</v>
          </cell>
          <cell r="N152">
            <v>1200</v>
          </cell>
          <cell r="O152">
            <v>24</v>
          </cell>
          <cell r="P152">
            <v>6</v>
          </cell>
          <cell r="Q152">
            <v>362.59999999999997</v>
          </cell>
        </row>
        <row r="153">
          <cell r="A153">
            <v>8551603</v>
          </cell>
          <cell r="B153" t="str">
            <v>eXtra 200 600X1200 BP/24 4</v>
          </cell>
          <cell r="C153" t="str">
            <v>PAROC eXtra Flexible Slab</v>
          </cell>
          <cell r="D153" t="str">
            <v>Flexible slabs &amp; mats</v>
          </cell>
          <cell r="E153">
            <v>69.12</v>
          </cell>
          <cell r="F153">
            <v>13.82</v>
          </cell>
          <cell r="G153" t="str">
            <v>m2</v>
          </cell>
          <cell r="H153">
            <v>4</v>
          </cell>
          <cell r="I153" t="str">
            <v>200 600X1200 BP/24 4</v>
          </cell>
          <cell r="J153" t="str">
            <v>BP/24 4</v>
          </cell>
          <cell r="K153" t="str">
            <v>EXL</v>
          </cell>
          <cell r="L153">
            <v>200</v>
          </cell>
          <cell r="M153">
            <v>600</v>
          </cell>
          <cell r="N153">
            <v>1200</v>
          </cell>
          <cell r="O153">
            <v>24</v>
          </cell>
          <cell r="P153">
            <v>4</v>
          </cell>
          <cell r="Q153">
            <v>386.96000000000004</v>
          </cell>
        </row>
        <row r="154">
          <cell r="A154">
            <v>8548777</v>
          </cell>
          <cell r="B154" t="str">
            <v>Linio 10 80 600X1200 PL/30 3</v>
          </cell>
          <cell r="C154" t="str">
            <v>PAROC Linio 10 Rendered Facade Slab</v>
          </cell>
          <cell r="D154" t="str">
            <v>Rendered facades</v>
          </cell>
          <cell r="E154">
            <v>64.8</v>
          </cell>
          <cell r="F154">
            <v>5.18</v>
          </cell>
          <cell r="G154" t="str">
            <v>m2</v>
          </cell>
          <cell r="H154">
            <v>4</v>
          </cell>
          <cell r="I154" t="str">
            <v>80 600X1200 PL/30 3</v>
          </cell>
          <cell r="J154" t="str">
            <v>PL/30 3</v>
          </cell>
          <cell r="K154" t="str">
            <v>HD</v>
          </cell>
          <cell r="L154">
            <v>80</v>
          </cell>
          <cell r="M154">
            <v>600</v>
          </cell>
          <cell r="N154">
            <v>1200</v>
          </cell>
          <cell r="O154">
            <v>30</v>
          </cell>
          <cell r="P154">
            <v>3</v>
          </cell>
          <cell r="Q154">
            <v>398.85999999999996</v>
          </cell>
        </row>
        <row r="155">
          <cell r="A155">
            <v>8548874</v>
          </cell>
          <cell r="B155" t="str">
            <v>Linio 15 180 600X1200 PL/18 2</v>
          </cell>
          <cell r="C155" t="str">
            <v>PAROC Linio 15 Rendered Facade Slab</v>
          </cell>
          <cell r="D155" t="str">
            <v>Rendered facades</v>
          </cell>
          <cell r="E155">
            <v>25.92</v>
          </cell>
          <cell r="F155">
            <v>4.67</v>
          </cell>
          <cell r="G155" t="str">
            <v>m2</v>
          </cell>
          <cell r="H155">
            <v>4</v>
          </cell>
          <cell r="I155" t="str">
            <v>180 600X1200 PL/18 2</v>
          </cell>
          <cell r="J155" t="str">
            <v>PL/18 2</v>
          </cell>
          <cell r="K155" t="str">
            <v>HD</v>
          </cell>
          <cell r="L155">
            <v>180</v>
          </cell>
          <cell r="M155">
            <v>600</v>
          </cell>
          <cell r="N155">
            <v>1200</v>
          </cell>
          <cell r="O155">
            <v>18</v>
          </cell>
          <cell r="P155">
            <v>2</v>
          </cell>
          <cell r="Q155">
            <v>406.29</v>
          </cell>
        </row>
        <row r="156">
          <cell r="A156">
            <v>8508832</v>
          </cell>
          <cell r="B156" t="str">
            <v>ROB 60 30 1200X1800 PL/40</v>
          </cell>
          <cell r="C156" t="str">
            <v>PAROC ROB 60 Roof Board</v>
          </cell>
          <cell r="D156" t="str">
            <v>Roof - Slabs and boards</v>
          </cell>
          <cell r="E156">
            <v>86.4</v>
          </cell>
          <cell r="F156">
            <v>2.59</v>
          </cell>
          <cell r="G156" t="str">
            <v>m2</v>
          </cell>
          <cell r="H156">
            <v>4</v>
          </cell>
          <cell r="I156" t="str">
            <v>30 1200X1800 PL/40</v>
          </cell>
          <cell r="J156" t="str">
            <v>PL/40</v>
          </cell>
          <cell r="K156" t="str">
            <v>HD</v>
          </cell>
          <cell r="L156">
            <v>30</v>
          </cell>
          <cell r="M156">
            <v>1200</v>
          </cell>
          <cell r="N156">
            <v>1800</v>
          </cell>
          <cell r="O156">
            <v>40</v>
          </cell>
          <cell r="Q156">
            <v>380.72999999999996</v>
          </cell>
        </row>
        <row r="157">
          <cell r="A157">
            <v>8508898</v>
          </cell>
          <cell r="B157" t="str">
            <v>FPS 14 100 600X1200 PL/33 2</v>
          </cell>
          <cell r="C157" t="str">
            <v>PAROC FPS 14 Fire Protection Slab</v>
          </cell>
          <cell r="D157" t="str">
            <v>Fire protection</v>
          </cell>
          <cell r="E157">
            <v>47.52</v>
          </cell>
          <cell r="F157">
            <v>4.75</v>
          </cell>
          <cell r="G157" t="str">
            <v>m2</v>
          </cell>
          <cell r="H157">
            <v>4</v>
          </cell>
          <cell r="I157" t="str">
            <v>100 600X1200 PL/33 2</v>
          </cell>
          <cell r="J157" t="str">
            <v>PL/33 2</v>
          </cell>
          <cell r="K157" t="str">
            <v>HD</v>
          </cell>
          <cell r="L157">
            <v>100</v>
          </cell>
          <cell r="M157">
            <v>600</v>
          </cell>
          <cell r="N157">
            <v>1200</v>
          </cell>
          <cell r="O157">
            <v>33</v>
          </cell>
          <cell r="P157">
            <v>2</v>
          </cell>
          <cell r="Q157">
            <v>646</v>
          </cell>
        </row>
        <row r="158">
          <cell r="A158">
            <v>8524606</v>
          </cell>
          <cell r="B158" t="str">
            <v>WAS 35 80 600X1200 PL/21 4</v>
          </cell>
          <cell r="C158" t="str">
            <v>PAROC WAS 35 Wall Slab</v>
          </cell>
          <cell r="D158" t="str">
            <v>Wall slabs &amp; boards</v>
          </cell>
          <cell r="E158">
            <v>60.48</v>
          </cell>
          <cell r="F158">
            <v>4.84</v>
          </cell>
          <cell r="G158" t="str">
            <v>m2</v>
          </cell>
          <cell r="H158">
            <v>4</v>
          </cell>
          <cell r="I158" t="str">
            <v>80 600X1200 PL/21 4</v>
          </cell>
          <cell r="J158" t="str">
            <v>PL/21 4</v>
          </cell>
          <cell r="K158" t="str">
            <v>HD</v>
          </cell>
          <cell r="L158">
            <v>80</v>
          </cell>
          <cell r="M158">
            <v>600</v>
          </cell>
          <cell r="N158">
            <v>1200</v>
          </cell>
          <cell r="O158">
            <v>21</v>
          </cell>
          <cell r="P158">
            <v>4</v>
          </cell>
          <cell r="Q158">
            <v>338.8</v>
          </cell>
        </row>
        <row r="159">
          <cell r="A159">
            <v>8527711</v>
          </cell>
          <cell r="B159" t="str">
            <v>FPS 17 25 600X1200 PL/33 8</v>
          </cell>
          <cell r="C159" t="str">
            <v>PAROC FPS 17 Fire Protection Slab</v>
          </cell>
          <cell r="D159" t="str">
            <v>Fire protection</v>
          </cell>
          <cell r="E159">
            <v>190.08</v>
          </cell>
          <cell r="F159">
            <v>4.75</v>
          </cell>
          <cell r="G159" t="str">
            <v>m2</v>
          </cell>
          <cell r="H159">
            <v>4</v>
          </cell>
          <cell r="I159" t="str">
            <v>25 600X1200 PL/33 8</v>
          </cell>
          <cell r="J159" t="str">
            <v>PL/33 8</v>
          </cell>
          <cell r="K159" t="str">
            <v>HD</v>
          </cell>
          <cell r="L159">
            <v>25</v>
          </cell>
          <cell r="M159">
            <v>600</v>
          </cell>
          <cell r="N159">
            <v>1200</v>
          </cell>
          <cell r="O159">
            <v>33</v>
          </cell>
          <cell r="P159">
            <v>8</v>
          </cell>
          <cell r="Q159">
            <v>807.5</v>
          </cell>
        </row>
        <row r="160">
          <cell r="A160">
            <v>8509603</v>
          </cell>
          <cell r="B160" t="str">
            <v>ROS 50 50 1200X1800 PL/45</v>
          </cell>
          <cell r="C160" t="str">
            <v>PAROC ROS 50 Roof Slab</v>
          </cell>
          <cell r="D160" t="str">
            <v>Roof - Slabs and boards</v>
          </cell>
          <cell r="E160">
            <v>97.2</v>
          </cell>
          <cell r="F160">
            <v>4.8600000000000003</v>
          </cell>
          <cell r="G160" t="str">
            <v>m2</v>
          </cell>
          <cell r="H160">
            <v>4</v>
          </cell>
          <cell r="I160" t="str">
            <v>50 1200X1800 PL/45</v>
          </cell>
          <cell r="J160" t="str">
            <v>PL/45</v>
          </cell>
          <cell r="K160" t="str">
            <v>HD</v>
          </cell>
          <cell r="L160">
            <v>50</v>
          </cell>
          <cell r="M160">
            <v>1200</v>
          </cell>
          <cell r="N160">
            <v>1800</v>
          </cell>
          <cell r="O160">
            <v>45</v>
          </cell>
          <cell r="Q160">
            <v>568.62</v>
          </cell>
        </row>
        <row r="161">
          <cell r="A161">
            <v>8515466</v>
          </cell>
          <cell r="B161" t="str">
            <v>WAS 50 60 600X1200 BP/16 8</v>
          </cell>
          <cell r="C161" t="str">
            <v>PAROC WAS 50 Wall Slab</v>
          </cell>
          <cell r="D161" t="str">
            <v>Wall slabs &amp; boards</v>
          </cell>
          <cell r="E161">
            <v>92.16</v>
          </cell>
          <cell r="F161">
            <v>5.53</v>
          </cell>
          <cell r="G161" t="str">
            <v>m2</v>
          </cell>
          <cell r="H161">
            <v>4</v>
          </cell>
          <cell r="I161" t="str">
            <v>60 600X1200 BP/16 8</v>
          </cell>
          <cell r="J161" t="str">
            <v>BP/16 8</v>
          </cell>
          <cell r="K161" t="str">
            <v>HD</v>
          </cell>
          <cell r="L161">
            <v>60</v>
          </cell>
          <cell r="M161">
            <v>600</v>
          </cell>
          <cell r="N161">
            <v>1200</v>
          </cell>
          <cell r="O161">
            <v>16</v>
          </cell>
          <cell r="P161">
            <v>8</v>
          </cell>
          <cell r="Q161">
            <v>248.85000000000002</v>
          </cell>
        </row>
        <row r="162">
          <cell r="A162">
            <v>8553239</v>
          </cell>
          <cell r="B162" t="str">
            <v>Linio 20 110 600X1200 PL/33 2</v>
          </cell>
          <cell r="C162" t="str">
            <v>PAROC Linio 20 Rendered Facade Slab</v>
          </cell>
          <cell r="D162" t="str">
            <v>Rendered facades</v>
          </cell>
          <cell r="E162">
            <v>47.52</v>
          </cell>
          <cell r="F162">
            <v>5.23</v>
          </cell>
          <cell r="G162" t="str">
            <v>m2</v>
          </cell>
          <cell r="H162">
            <v>4</v>
          </cell>
          <cell r="I162" t="str">
            <v>110 600X1200 PL/33 2</v>
          </cell>
          <cell r="J162" t="str">
            <v>PL/33 2</v>
          </cell>
          <cell r="K162" t="str">
            <v>HD</v>
          </cell>
          <cell r="L162">
            <v>110</v>
          </cell>
          <cell r="M162">
            <v>600</v>
          </cell>
          <cell r="N162">
            <v>1200</v>
          </cell>
          <cell r="O162">
            <v>33</v>
          </cell>
          <cell r="P162">
            <v>2</v>
          </cell>
          <cell r="Q162">
            <v>575.30000000000007</v>
          </cell>
        </row>
        <row r="163">
          <cell r="A163">
            <v>8553393</v>
          </cell>
          <cell r="B163" t="str">
            <v>Linio 20 40 600X1200 PL/30 6</v>
          </cell>
          <cell r="C163" t="str">
            <v>PAROC Linio 20 Rendered Facade Slab</v>
          </cell>
          <cell r="D163" t="str">
            <v>Rendered facades</v>
          </cell>
          <cell r="E163">
            <v>129.6</v>
          </cell>
          <cell r="F163">
            <v>5.18</v>
          </cell>
          <cell r="G163" t="str">
            <v>m2</v>
          </cell>
          <cell r="H163">
            <v>4</v>
          </cell>
          <cell r="I163" t="str">
            <v>40 600X1200 PL/30 6</v>
          </cell>
          <cell r="J163" t="str">
            <v>PL/30 6</v>
          </cell>
          <cell r="K163" t="str">
            <v>HD</v>
          </cell>
          <cell r="L163">
            <v>40</v>
          </cell>
          <cell r="M163">
            <v>600</v>
          </cell>
          <cell r="N163">
            <v>1200</v>
          </cell>
          <cell r="O163">
            <v>30</v>
          </cell>
          <cell r="P163">
            <v>6</v>
          </cell>
          <cell r="Q163">
            <v>569.79999999999995</v>
          </cell>
        </row>
        <row r="164">
          <cell r="A164">
            <v>8554072</v>
          </cell>
          <cell r="B164" t="str">
            <v>eXtra plus 50 600X1200 BP/16 12</v>
          </cell>
          <cell r="C164" t="str">
            <v>PAROC eXtra plus Flexible slab</v>
          </cell>
          <cell r="D164" t="str">
            <v>Flexible slabs &amp; mats</v>
          </cell>
          <cell r="E164">
            <v>138.24</v>
          </cell>
          <cell r="F164">
            <v>6.91</v>
          </cell>
          <cell r="G164" t="str">
            <v>m2</v>
          </cell>
          <cell r="H164">
            <v>4</v>
          </cell>
          <cell r="I164" t="str">
            <v>50 600X1200 BP/16 12</v>
          </cell>
          <cell r="J164" t="str">
            <v>BP/16 12</v>
          </cell>
          <cell r="K164" t="str">
            <v>MD</v>
          </cell>
          <cell r="L164">
            <v>50</v>
          </cell>
          <cell r="M164">
            <v>600</v>
          </cell>
          <cell r="N164">
            <v>1200</v>
          </cell>
          <cell r="O164">
            <v>16</v>
          </cell>
          <cell r="P164">
            <v>12</v>
          </cell>
          <cell r="Q164">
            <v>276.39999999999998</v>
          </cell>
        </row>
        <row r="165">
          <cell r="A165">
            <v>8550688</v>
          </cell>
          <cell r="B165" t="str">
            <v>Linio 15 40 600X1200 PL/30 6</v>
          </cell>
          <cell r="C165" t="str">
            <v>PAROC Linio 15 Rendered Facade Slab</v>
          </cell>
          <cell r="D165" t="str">
            <v>Rendered facades</v>
          </cell>
          <cell r="E165">
            <v>129.6</v>
          </cell>
          <cell r="F165">
            <v>5.18</v>
          </cell>
          <cell r="G165" t="str">
            <v>m2</v>
          </cell>
          <cell r="H165">
            <v>4</v>
          </cell>
          <cell r="I165" t="str">
            <v>40 600X1200 PL/30 6</v>
          </cell>
          <cell r="J165" t="str">
            <v>PL/30 6</v>
          </cell>
          <cell r="K165" t="str">
            <v>HD</v>
          </cell>
          <cell r="L165">
            <v>40</v>
          </cell>
          <cell r="M165">
            <v>600</v>
          </cell>
          <cell r="N165">
            <v>1200</v>
          </cell>
          <cell r="O165">
            <v>30</v>
          </cell>
          <cell r="P165">
            <v>6</v>
          </cell>
          <cell r="Q165">
            <v>450.65999999999997</v>
          </cell>
        </row>
        <row r="166">
          <cell r="A166">
            <v>8546681</v>
          </cell>
          <cell r="B166" t="str">
            <v>ROS 80 50 1200X1800 PL/45</v>
          </cell>
          <cell r="C166" t="str">
            <v>PAROC ROS 80 Roof Slab</v>
          </cell>
          <cell r="D166" t="str">
            <v>Roof - Slabs and boards</v>
          </cell>
          <cell r="E166">
            <v>97.2</v>
          </cell>
          <cell r="F166">
            <v>4.8600000000000003</v>
          </cell>
          <cell r="G166" t="str">
            <v>m2</v>
          </cell>
          <cell r="H166">
            <v>4</v>
          </cell>
          <cell r="I166" t="str">
            <v>50 1200X1800 PL/45</v>
          </cell>
          <cell r="J166" t="str">
            <v>PL/45</v>
          </cell>
          <cell r="K166" t="str">
            <v>HD</v>
          </cell>
          <cell r="L166">
            <v>50</v>
          </cell>
          <cell r="M166">
            <v>1200</v>
          </cell>
          <cell r="N166">
            <v>1800</v>
          </cell>
          <cell r="O166">
            <v>45</v>
          </cell>
          <cell r="Q166">
            <v>850.5</v>
          </cell>
        </row>
        <row r="167">
          <cell r="A167">
            <v>8550123</v>
          </cell>
          <cell r="B167" t="str">
            <v>Linio 15 200 600X1200 PL/18 2</v>
          </cell>
          <cell r="C167" t="str">
            <v>PAROC Linio 15 Rendered Facade Slab</v>
          </cell>
          <cell r="D167" t="str">
            <v>Rendered facades</v>
          </cell>
          <cell r="E167">
            <v>25.92</v>
          </cell>
          <cell r="F167">
            <v>5.18</v>
          </cell>
          <cell r="G167" t="str">
            <v>m2</v>
          </cell>
          <cell r="H167">
            <v>4</v>
          </cell>
          <cell r="I167" t="str">
            <v>200 600X1200 PL/18 2</v>
          </cell>
          <cell r="J167" t="str">
            <v>PL/18 2</v>
          </cell>
          <cell r="K167" t="str">
            <v>HD</v>
          </cell>
          <cell r="L167">
            <v>200</v>
          </cell>
          <cell r="M167">
            <v>600</v>
          </cell>
          <cell r="N167">
            <v>1200</v>
          </cell>
          <cell r="O167">
            <v>18</v>
          </cell>
          <cell r="P167">
            <v>2</v>
          </cell>
          <cell r="Q167">
            <v>450.65999999999997</v>
          </cell>
        </row>
        <row r="168">
          <cell r="A168">
            <v>8550071</v>
          </cell>
          <cell r="B168" t="str">
            <v>WAS 25tb 50 600X1200 PL/24 6</v>
          </cell>
          <cell r="C168" t="str">
            <v>PAROC WAS 25tb Wall Slab</v>
          </cell>
          <cell r="D168" t="str">
            <v>Wall slabs &amp; boards</v>
          </cell>
          <cell r="E168">
            <v>103.68</v>
          </cell>
          <cell r="F168">
            <v>5.18</v>
          </cell>
          <cell r="G168" t="str">
            <v>m2</v>
          </cell>
          <cell r="H168">
            <v>4</v>
          </cell>
          <cell r="I168" t="str">
            <v>50 600X1200 PL/24 6</v>
          </cell>
          <cell r="J168" t="str">
            <v>PL/24 6</v>
          </cell>
          <cell r="K168" t="str">
            <v>HD</v>
          </cell>
          <cell r="L168">
            <v>50</v>
          </cell>
          <cell r="M168">
            <v>600</v>
          </cell>
          <cell r="N168">
            <v>1200</v>
          </cell>
          <cell r="O168">
            <v>24</v>
          </cell>
          <cell r="P168">
            <v>6</v>
          </cell>
          <cell r="Q168">
            <v>414.4</v>
          </cell>
        </row>
        <row r="169">
          <cell r="A169">
            <v>8550049</v>
          </cell>
          <cell r="B169" t="str">
            <v>WAS 50 110 600X1200 BP/16 5</v>
          </cell>
          <cell r="C169" t="str">
            <v>PAROC WAS 50 Wall Slab</v>
          </cell>
          <cell r="D169" t="str">
            <v>Wall slabs &amp; boards</v>
          </cell>
          <cell r="E169">
            <v>57.6</v>
          </cell>
          <cell r="F169">
            <v>6.34</v>
          </cell>
          <cell r="G169" t="str">
            <v>m2</v>
          </cell>
          <cell r="H169">
            <v>4</v>
          </cell>
          <cell r="I169" t="str">
            <v>110 600X1200 BP/16 5</v>
          </cell>
          <cell r="J169" t="str">
            <v>BP/16 5</v>
          </cell>
          <cell r="K169" t="str">
            <v>HD</v>
          </cell>
          <cell r="L169">
            <v>110</v>
          </cell>
          <cell r="M169">
            <v>600</v>
          </cell>
          <cell r="N169">
            <v>1200</v>
          </cell>
          <cell r="O169">
            <v>16</v>
          </cell>
          <cell r="P169">
            <v>5</v>
          </cell>
          <cell r="Q169">
            <v>285.3</v>
          </cell>
        </row>
        <row r="170">
          <cell r="A170">
            <v>8554194</v>
          </cell>
          <cell r="B170" t="str">
            <v>Linio 10 40 600X1200 PL/30 6</v>
          </cell>
          <cell r="C170" t="str">
            <v>PAROC Linio 10 Rendered Facade Slab</v>
          </cell>
          <cell r="D170" t="str">
            <v>Rendered facades</v>
          </cell>
          <cell r="E170">
            <v>129.6</v>
          </cell>
          <cell r="F170">
            <v>5.18</v>
          </cell>
          <cell r="G170" t="str">
            <v>m2</v>
          </cell>
          <cell r="H170">
            <v>4</v>
          </cell>
          <cell r="I170" t="str">
            <v>40 600X1200 PL/30 6</v>
          </cell>
          <cell r="J170" t="str">
            <v>PL/30 6</v>
          </cell>
          <cell r="K170" t="str">
            <v>HD</v>
          </cell>
          <cell r="L170">
            <v>40</v>
          </cell>
          <cell r="M170">
            <v>600</v>
          </cell>
          <cell r="N170">
            <v>1200</v>
          </cell>
          <cell r="O170">
            <v>30</v>
          </cell>
          <cell r="P170">
            <v>6</v>
          </cell>
          <cell r="Q170">
            <v>398.85999999999996</v>
          </cell>
        </row>
        <row r="171">
          <cell r="A171">
            <v>8508704</v>
          </cell>
          <cell r="B171" t="str">
            <v>ROS 60 120 1200X1800 PL/18</v>
          </cell>
          <cell r="C171" t="str">
            <v>PAROC ROS 60 Roof Slab</v>
          </cell>
          <cell r="D171" t="str">
            <v>Roof - Slabs and boards</v>
          </cell>
          <cell r="E171">
            <v>38.880000000000003</v>
          </cell>
          <cell r="F171">
            <v>4.67</v>
          </cell>
          <cell r="G171" t="str">
            <v>m2</v>
          </cell>
          <cell r="H171">
            <v>4</v>
          </cell>
          <cell r="I171" t="str">
            <v>120 1200X1800 PL/18</v>
          </cell>
          <cell r="J171" t="str">
            <v>PL/18</v>
          </cell>
          <cell r="K171" t="str">
            <v>HD</v>
          </cell>
          <cell r="L171">
            <v>120</v>
          </cell>
          <cell r="M171">
            <v>1200</v>
          </cell>
          <cell r="N171">
            <v>1800</v>
          </cell>
          <cell r="O171">
            <v>18</v>
          </cell>
          <cell r="Q171">
            <v>560.4</v>
          </cell>
        </row>
        <row r="172">
          <cell r="A172">
            <v>8556035</v>
          </cell>
          <cell r="B172" t="str">
            <v>ROS 60 130 1200X1800 PL/17</v>
          </cell>
          <cell r="C172" t="str">
            <v>PAROC ROS 60 Roof Slab</v>
          </cell>
          <cell r="D172" t="str">
            <v>Roof - Slabs and boards</v>
          </cell>
          <cell r="E172">
            <v>36.72</v>
          </cell>
          <cell r="F172">
            <v>4.7699999999999996</v>
          </cell>
          <cell r="G172" t="str">
            <v>m2</v>
          </cell>
          <cell r="H172">
            <v>4</v>
          </cell>
          <cell r="I172" t="str">
            <v>130 1200X1800 PL/17</v>
          </cell>
          <cell r="J172" t="str">
            <v>PL/17</v>
          </cell>
          <cell r="K172" t="str">
            <v>HD</v>
          </cell>
          <cell r="L172">
            <v>130</v>
          </cell>
          <cell r="M172">
            <v>1200</v>
          </cell>
          <cell r="N172">
            <v>1800</v>
          </cell>
          <cell r="O172">
            <v>17</v>
          </cell>
          <cell r="Q172">
            <v>572.4</v>
          </cell>
        </row>
        <row r="173">
          <cell r="A173">
            <v>8531178</v>
          </cell>
          <cell r="B173" t="str">
            <v>FPS 14 40 600X1200 PL/33 5</v>
          </cell>
          <cell r="C173" t="str">
            <v>PAROC FPS 14 Fire Protection Slab</v>
          </cell>
          <cell r="D173" t="str">
            <v>Fire protection</v>
          </cell>
          <cell r="E173">
            <v>118.8</v>
          </cell>
          <cell r="F173">
            <v>4.75</v>
          </cell>
          <cell r="G173" t="str">
            <v>m2</v>
          </cell>
          <cell r="H173">
            <v>4</v>
          </cell>
          <cell r="I173" t="str">
            <v>40 600X1200 PL/33 5</v>
          </cell>
          <cell r="J173" t="str">
            <v>PL/33 5</v>
          </cell>
          <cell r="K173" t="str">
            <v>HD</v>
          </cell>
          <cell r="L173">
            <v>40</v>
          </cell>
          <cell r="M173">
            <v>600</v>
          </cell>
          <cell r="N173">
            <v>1200</v>
          </cell>
          <cell r="O173">
            <v>33</v>
          </cell>
          <cell r="P173">
            <v>5</v>
          </cell>
          <cell r="Q173">
            <v>646</v>
          </cell>
        </row>
        <row r="174">
          <cell r="A174">
            <v>8556816</v>
          </cell>
          <cell r="B174" t="str">
            <v>Linio 10 90 600X1200 PL/24 3</v>
          </cell>
          <cell r="C174" t="str">
            <v>PAROC Linio 10 Rendered Facade Slab</v>
          </cell>
          <cell r="D174" t="str">
            <v>Rendered facades</v>
          </cell>
          <cell r="E174">
            <v>51.84</v>
          </cell>
          <cell r="F174">
            <v>4.67</v>
          </cell>
          <cell r="G174" t="str">
            <v>m2</v>
          </cell>
          <cell r="H174">
            <v>4</v>
          </cell>
          <cell r="I174" t="str">
            <v>90 600X1200 PL/24 3</v>
          </cell>
          <cell r="J174" t="str">
            <v>PL/24 3</v>
          </cell>
          <cell r="K174" t="str">
            <v>HD</v>
          </cell>
          <cell r="L174">
            <v>90</v>
          </cell>
          <cell r="M174">
            <v>600</v>
          </cell>
          <cell r="N174">
            <v>1200</v>
          </cell>
          <cell r="O174">
            <v>24</v>
          </cell>
          <cell r="P174">
            <v>3</v>
          </cell>
          <cell r="Q174">
            <v>359.59</v>
          </cell>
        </row>
        <row r="175">
          <cell r="A175">
            <v>8544140</v>
          </cell>
          <cell r="B175" t="str">
            <v>WAS 35tb 140 600X1200 PL/24 2</v>
          </cell>
          <cell r="C175" t="str">
            <v>PAROC WAS 35tb Wall Slab</v>
          </cell>
          <cell r="D175" t="str">
            <v>Wall slabs &amp; boards</v>
          </cell>
          <cell r="E175">
            <v>34.56</v>
          </cell>
          <cell r="F175">
            <v>4.84</v>
          </cell>
          <cell r="G175" t="str">
            <v>m2</v>
          </cell>
          <cell r="H175">
            <v>4</v>
          </cell>
          <cell r="I175" t="str">
            <v>140 600X1200 PL/24 2</v>
          </cell>
          <cell r="J175" t="str">
            <v>PL/24 2</v>
          </cell>
          <cell r="K175" t="str">
            <v>HD</v>
          </cell>
          <cell r="L175">
            <v>140</v>
          </cell>
          <cell r="M175">
            <v>600</v>
          </cell>
          <cell r="N175">
            <v>1200</v>
          </cell>
          <cell r="O175">
            <v>24</v>
          </cell>
          <cell r="P175">
            <v>2</v>
          </cell>
          <cell r="Q175">
            <v>338.8</v>
          </cell>
        </row>
        <row r="176">
          <cell r="A176">
            <v>8535961</v>
          </cell>
          <cell r="B176" t="str">
            <v>ROS 30 100 600X1200 PL/21 3</v>
          </cell>
          <cell r="C176" t="str">
            <v>PAROC ROS 30 Roof Slab</v>
          </cell>
          <cell r="D176" t="str">
            <v>Roof - Slabs and boards</v>
          </cell>
          <cell r="E176">
            <v>45.36</v>
          </cell>
          <cell r="F176">
            <v>4.54</v>
          </cell>
          <cell r="G176" t="str">
            <v>m2</v>
          </cell>
          <cell r="H176">
            <v>4</v>
          </cell>
          <cell r="I176" t="str">
            <v>100 600X1200 PL/21 3</v>
          </cell>
          <cell r="J176" t="str">
            <v>PL/21 3</v>
          </cell>
          <cell r="K176" t="str">
            <v>HD</v>
          </cell>
          <cell r="L176">
            <v>100</v>
          </cell>
          <cell r="M176">
            <v>600</v>
          </cell>
          <cell r="N176">
            <v>1200</v>
          </cell>
          <cell r="O176">
            <v>21</v>
          </cell>
          <cell r="P176">
            <v>3</v>
          </cell>
          <cell r="Q176">
            <v>385.9</v>
          </cell>
        </row>
        <row r="177">
          <cell r="A177">
            <v>8532046</v>
          </cell>
          <cell r="B177" t="str">
            <v>ROS 30 50 600X1200 PL/33 4</v>
          </cell>
          <cell r="C177" t="str">
            <v>PAROC ROS 30 Roof Slab</v>
          </cell>
          <cell r="D177" t="str">
            <v>Roof - Slabs and boards</v>
          </cell>
          <cell r="E177">
            <v>95.04</v>
          </cell>
          <cell r="F177">
            <v>4.75</v>
          </cell>
          <cell r="G177" t="str">
            <v>m2</v>
          </cell>
          <cell r="H177">
            <v>4</v>
          </cell>
          <cell r="I177" t="str">
            <v>50 600X1200 PL/33 4</v>
          </cell>
          <cell r="J177" t="str">
            <v>PL/33 4</v>
          </cell>
          <cell r="K177" t="str">
            <v>HD</v>
          </cell>
          <cell r="L177">
            <v>50</v>
          </cell>
          <cell r="M177">
            <v>600</v>
          </cell>
          <cell r="N177">
            <v>1200</v>
          </cell>
          <cell r="O177">
            <v>33</v>
          </cell>
          <cell r="P177">
            <v>4</v>
          </cell>
          <cell r="Q177">
            <v>403.75</v>
          </cell>
        </row>
        <row r="178">
          <cell r="A178">
            <v>8508696</v>
          </cell>
          <cell r="B178" t="str">
            <v>ROS 60 90 1200X1800 PL/25</v>
          </cell>
          <cell r="C178" t="str">
            <v>PAROC ROS 60 Roof Slab</v>
          </cell>
          <cell r="D178" t="str">
            <v>Roof - Slabs and boards</v>
          </cell>
          <cell r="E178">
            <v>54</v>
          </cell>
          <cell r="F178">
            <v>4.8600000000000003</v>
          </cell>
          <cell r="G178" t="str">
            <v>m2</v>
          </cell>
          <cell r="H178">
            <v>4</v>
          </cell>
          <cell r="I178" t="str">
            <v>90 1200X1800 PL/25</v>
          </cell>
          <cell r="J178" t="str">
            <v>PL/25</v>
          </cell>
          <cell r="K178" t="str">
            <v>HD</v>
          </cell>
          <cell r="L178">
            <v>90</v>
          </cell>
          <cell r="M178">
            <v>1200</v>
          </cell>
          <cell r="N178">
            <v>1800</v>
          </cell>
          <cell r="O178">
            <v>25</v>
          </cell>
          <cell r="Q178">
            <v>583.20000000000005</v>
          </cell>
        </row>
        <row r="179">
          <cell r="A179">
            <v>8557539</v>
          </cell>
          <cell r="B179" t="str">
            <v>InWall 120 600X1200 BP/16 5</v>
          </cell>
          <cell r="C179" t="str">
            <v>PAROC InWall Wall Slab</v>
          </cell>
          <cell r="D179" t="str">
            <v>Wall slabs &amp; boards</v>
          </cell>
          <cell r="E179">
            <v>57.6</v>
          </cell>
          <cell r="F179">
            <v>6.91</v>
          </cell>
          <cell r="G179" t="str">
            <v>m2</v>
          </cell>
          <cell r="H179">
            <v>4</v>
          </cell>
          <cell r="I179" t="str">
            <v>120 600X1200 BP/16 5</v>
          </cell>
          <cell r="J179" t="str">
            <v>BP/16 5</v>
          </cell>
          <cell r="K179" t="str">
            <v>MD</v>
          </cell>
          <cell r="L179">
            <v>120</v>
          </cell>
          <cell r="M179">
            <v>600</v>
          </cell>
          <cell r="N179">
            <v>1200</v>
          </cell>
          <cell r="O179">
            <v>16</v>
          </cell>
          <cell r="P179">
            <v>5</v>
          </cell>
          <cell r="Q179">
            <v>262.58</v>
          </cell>
        </row>
        <row r="180">
          <cell r="A180">
            <v>8557731</v>
          </cell>
          <cell r="B180" t="str">
            <v>SSB 4 40 600X1200 PL/30 6</v>
          </cell>
          <cell r="C180" t="str">
            <v>PAROC SSB 4 Step Sound Board</v>
          </cell>
          <cell r="D180" t="str">
            <v>Impact sound insulation</v>
          </cell>
          <cell r="E180">
            <v>129.6</v>
          </cell>
          <cell r="F180">
            <v>5.18</v>
          </cell>
          <cell r="G180" t="str">
            <v>m2</v>
          </cell>
          <cell r="H180">
            <v>4</v>
          </cell>
          <cell r="I180" t="str">
            <v>40 600X1200 PL/30 6</v>
          </cell>
          <cell r="J180" t="str">
            <v>PL/30 6</v>
          </cell>
          <cell r="K180" t="str">
            <v>HD</v>
          </cell>
          <cell r="L180">
            <v>40</v>
          </cell>
          <cell r="M180">
            <v>600</v>
          </cell>
          <cell r="N180">
            <v>1200</v>
          </cell>
          <cell r="O180">
            <v>30</v>
          </cell>
          <cell r="P180">
            <v>6</v>
          </cell>
          <cell r="Q180">
            <v>497.28</v>
          </cell>
        </row>
        <row r="181">
          <cell r="A181">
            <v>8557760</v>
          </cell>
          <cell r="B181" t="str">
            <v>Fatio 150 600X1200 PL/24 2</v>
          </cell>
          <cell r="C181" t="str">
            <v>PAROC Fatio Rendered Facade Slab</v>
          </cell>
          <cell r="D181" t="str">
            <v>Rendered facades</v>
          </cell>
          <cell r="E181">
            <v>34.56</v>
          </cell>
          <cell r="F181">
            <v>5.18</v>
          </cell>
          <cell r="G181" t="str">
            <v>m2</v>
          </cell>
          <cell r="H181">
            <v>4</v>
          </cell>
          <cell r="I181" t="str">
            <v>150 600X1200 PL/24 2</v>
          </cell>
          <cell r="J181" t="str">
            <v>PL/24 2</v>
          </cell>
          <cell r="K181" t="str">
            <v>HD</v>
          </cell>
          <cell r="L181">
            <v>150</v>
          </cell>
          <cell r="M181">
            <v>600</v>
          </cell>
          <cell r="N181">
            <v>1200</v>
          </cell>
          <cell r="O181">
            <v>24</v>
          </cell>
          <cell r="P181">
            <v>2</v>
          </cell>
          <cell r="Q181">
            <v>362.59999999999997</v>
          </cell>
        </row>
        <row r="182">
          <cell r="A182">
            <v>8559511</v>
          </cell>
          <cell r="B182" t="str">
            <v>InWall 200 600X1200 BP/16 3</v>
          </cell>
          <cell r="C182" t="str">
            <v>PAROC InWall Wall Slab</v>
          </cell>
          <cell r="D182" t="str">
            <v>Wall slabs &amp; boards</v>
          </cell>
          <cell r="E182">
            <v>34.56</v>
          </cell>
          <cell r="F182">
            <v>6.91</v>
          </cell>
          <cell r="G182" t="str">
            <v>m2</v>
          </cell>
          <cell r="H182">
            <v>4</v>
          </cell>
          <cell r="I182" t="str">
            <v>200 600X1200 BP/16 3</v>
          </cell>
          <cell r="J182" t="str">
            <v>BP/16 3</v>
          </cell>
          <cell r="K182" t="str">
            <v>MD</v>
          </cell>
          <cell r="L182">
            <v>200</v>
          </cell>
          <cell r="M182">
            <v>600</v>
          </cell>
          <cell r="N182">
            <v>1200</v>
          </cell>
          <cell r="O182">
            <v>16</v>
          </cell>
          <cell r="P182">
            <v>3</v>
          </cell>
          <cell r="Q182">
            <v>262.58</v>
          </cell>
        </row>
        <row r="183">
          <cell r="A183">
            <v>8545418</v>
          </cell>
          <cell r="B183" t="str">
            <v>WAS 50 160 600X1200 BP/16 3</v>
          </cell>
          <cell r="C183" t="str">
            <v>PAROC WAS 50 Wall Slab</v>
          </cell>
          <cell r="D183" t="str">
            <v>Wall slabs &amp; boards</v>
          </cell>
          <cell r="E183">
            <v>34.56</v>
          </cell>
          <cell r="F183">
            <v>5.53</v>
          </cell>
          <cell r="G183" t="str">
            <v>m2</v>
          </cell>
          <cell r="H183">
            <v>4</v>
          </cell>
          <cell r="I183" t="str">
            <v>160 600X1200 BP/16 3</v>
          </cell>
          <cell r="J183" t="str">
            <v>BP/16 3</v>
          </cell>
          <cell r="K183" t="str">
            <v>HD</v>
          </cell>
          <cell r="L183">
            <v>160</v>
          </cell>
          <cell r="M183">
            <v>600</v>
          </cell>
          <cell r="N183">
            <v>1200</v>
          </cell>
          <cell r="O183">
            <v>16</v>
          </cell>
          <cell r="P183">
            <v>3</v>
          </cell>
          <cell r="Q183">
            <v>248.85000000000002</v>
          </cell>
        </row>
        <row r="184">
          <cell r="A184">
            <v>8520913</v>
          </cell>
          <cell r="B184" t="str">
            <v>ROS 50 70 1200X1800 PL/32</v>
          </cell>
          <cell r="C184" t="str">
            <v>PAROC ROS 50 Roof Slab</v>
          </cell>
          <cell r="D184" t="str">
            <v>Roof - Slabs and boards</v>
          </cell>
          <cell r="E184">
            <v>69.12</v>
          </cell>
          <cell r="F184">
            <v>4.84</v>
          </cell>
          <cell r="G184" t="str">
            <v>m2</v>
          </cell>
          <cell r="H184">
            <v>4</v>
          </cell>
          <cell r="I184" t="str">
            <v>70 1200X1800 PL/32</v>
          </cell>
          <cell r="J184" t="str">
            <v>PL/32</v>
          </cell>
          <cell r="K184" t="str">
            <v>HD</v>
          </cell>
          <cell r="L184">
            <v>70</v>
          </cell>
          <cell r="M184">
            <v>1200</v>
          </cell>
          <cell r="N184">
            <v>1800</v>
          </cell>
          <cell r="O184">
            <v>32</v>
          </cell>
          <cell r="Q184">
            <v>566.28</v>
          </cell>
        </row>
        <row r="185">
          <cell r="A185">
            <v>8567453</v>
          </cell>
          <cell r="B185" t="str">
            <v>WAS 120 80 600X1200 BP/24 10</v>
          </cell>
          <cell r="C185" t="str">
            <v>PAROC WAS 120 Wall Slab</v>
          </cell>
          <cell r="D185" t="str">
            <v>Wall slabs &amp; boards</v>
          </cell>
          <cell r="E185">
            <v>172.8</v>
          </cell>
          <cell r="F185">
            <v>13.82</v>
          </cell>
          <cell r="G185" t="str">
            <v>m2</v>
          </cell>
          <cell r="H185">
            <v>4</v>
          </cell>
          <cell r="I185" t="str">
            <v>80 600X1200 BP/24 10</v>
          </cell>
          <cell r="J185" t="str">
            <v>BP/24 10</v>
          </cell>
          <cell r="K185" t="str">
            <v>EXL</v>
          </cell>
          <cell r="L185">
            <v>80</v>
          </cell>
          <cell r="M185">
            <v>600</v>
          </cell>
          <cell r="N185">
            <v>1200</v>
          </cell>
          <cell r="O185">
            <v>24</v>
          </cell>
          <cell r="P185">
            <v>10</v>
          </cell>
          <cell r="Q185">
            <v>414.6</v>
          </cell>
        </row>
        <row r="186">
          <cell r="A186">
            <v>8567861</v>
          </cell>
          <cell r="B186" t="str">
            <v>ROL 60 120 200X1480 PL/108</v>
          </cell>
          <cell r="C186" t="str">
            <v>PAROC ROL 60 Roof Lamella</v>
          </cell>
          <cell r="D186" t="str">
            <v>Roof - Combination pallets</v>
          </cell>
          <cell r="E186">
            <v>31.96</v>
          </cell>
          <cell r="F186">
            <v>3.84</v>
          </cell>
          <cell r="G186" t="str">
            <v>m2</v>
          </cell>
          <cell r="H186">
            <v>4</v>
          </cell>
          <cell r="I186" t="str">
            <v>120 200X1480 PL/108</v>
          </cell>
          <cell r="J186" t="str">
            <v>PL/108</v>
          </cell>
          <cell r="K186" t="str">
            <v>HD</v>
          </cell>
          <cell r="L186">
            <v>120</v>
          </cell>
          <cell r="M186">
            <v>200</v>
          </cell>
          <cell r="N186">
            <v>1480</v>
          </cell>
          <cell r="O186">
            <v>108</v>
          </cell>
          <cell r="Q186">
            <v>307.2</v>
          </cell>
        </row>
        <row r="187">
          <cell r="A187">
            <v>8568804</v>
          </cell>
          <cell r="B187" t="str">
            <v>ROS 40 230 1200X1800 PL/10</v>
          </cell>
          <cell r="C187" t="str">
            <v>PAROC ROS 40 Roof Slab</v>
          </cell>
          <cell r="D187" t="str">
            <v>Roof - Slabs and boards</v>
          </cell>
          <cell r="E187">
            <v>21.6</v>
          </cell>
          <cell r="F187">
            <v>4.97</v>
          </cell>
          <cell r="G187" t="str">
            <v>m2</v>
          </cell>
          <cell r="H187">
            <v>4</v>
          </cell>
          <cell r="I187" t="str">
            <v>230 1200X1800 PL/10</v>
          </cell>
          <cell r="J187" t="str">
            <v>PL/10</v>
          </cell>
          <cell r="K187" t="str">
            <v>HD</v>
          </cell>
          <cell r="L187">
            <v>230</v>
          </cell>
          <cell r="M187">
            <v>1200</v>
          </cell>
          <cell r="N187">
            <v>1800</v>
          </cell>
          <cell r="O187">
            <v>10</v>
          </cell>
          <cell r="Q187">
            <v>477.12</v>
          </cell>
        </row>
        <row r="188">
          <cell r="A188">
            <v>8569461</v>
          </cell>
          <cell r="B188" t="str">
            <v>Linio 80 50 200X1480 PL/264</v>
          </cell>
          <cell r="C188" t="str">
            <v>PAROC Linio 80 Facade Lamella</v>
          </cell>
          <cell r="D188" t="str">
            <v>Rendered facades</v>
          </cell>
          <cell r="E188">
            <v>78.14</v>
          </cell>
          <cell r="F188">
            <v>3.91</v>
          </cell>
          <cell r="G188" t="str">
            <v>m2</v>
          </cell>
          <cell r="H188">
            <v>4</v>
          </cell>
          <cell r="I188" t="str">
            <v>50 200X1480 PL/264</v>
          </cell>
          <cell r="J188" t="str">
            <v>PL/264</v>
          </cell>
          <cell r="K188" t="str">
            <v>HD</v>
          </cell>
          <cell r="L188">
            <v>50</v>
          </cell>
          <cell r="M188">
            <v>200</v>
          </cell>
          <cell r="N188">
            <v>1480</v>
          </cell>
          <cell r="O188">
            <v>264</v>
          </cell>
          <cell r="Q188">
            <v>304.98</v>
          </cell>
        </row>
        <row r="189">
          <cell r="A189">
            <v>8547290</v>
          </cell>
          <cell r="B189" t="str">
            <v>eXtra plus 150 600X1200 BP/16 4</v>
          </cell>
          <cell r="C189" t="str">
            <v>PAROC eXtra plus Flexible slab</v>
          </cell>
          <cell r="D189" t="str">
            <v>Flexible slabs &amp; mats</v>
          </cell>
          <cell r="E189">
            <v>46.08</v>
          </cell>
          <cell r="F189">
            <v>6.91</v>
          </cell>
          <cell r="G189" t="str">
            <v>m2</v>
          </cell>
          <cell r="H189">
            <v>4</v>
          </cell>
          <cell r="I189" t="str">
            <v>150 600X1200 BP/16 4</v>
          </cell>
          <cell r="J189" t="str">
            <v>BP/16 4</v>
          </cell>
          <cell r="K189" t="str">
            <v>MD</v>
          </cell>
          <cell r="L189">
            <v>150</v>
          </cell>
          <cell r="M189">
            <v>600</v>
          </cell>
          <cell r="N189">
            <v>1200</v>
          </cell>
          <cell r="O189">
            <v>16</v>
          </cell>
          <cell r="P189">
            <v>4</v>
          </cell>
          <cell r="Q189">
            <v>276.39999999999998</v>
          </cell>
        </row>
        <row r="190">
          <cell r="A190">
            <v>8570737</v>
          </cell>
          <cell r="B190" t="str">
            <v>Fatio 130 600X1200 PL/27 2</v>
          </cell>
          <cell r="C190" t="str">
            <v>PAROC Fatio Rendered Facade Slab</v>
          </cell>
          <cell r="D190" t="str">
            <v>Rendered facades</v>
          </cell>
          <cell r="E190">
            <v>38.880000000000003</v>
          </cell>
          <cell r="F190">
            <v>5.05</v>
          </cell>
          <cell r="G190" t="str">
            <v>m2</v>
          </cell>
          <cell r="H190">
            <v>4</v>
          </cell>
          <cell r="I190" t="str">
            <v>130 600X1200 PL/27 2</v>
          </cell>
          <cell r="J190" t="str">
            <v>PL/27 2</v>
          </cell>
          <cell r="K190" t="str">
            <v>HD</v>
          </cell>
          <cell r="L190">
            <v>130</v>
          </cell>
          <cell r="M190">
            <v>600</v>
          </cell>
          <cell r="N190">
            <v>1200</v>
          </cell>
          <cell r="O190">
            <v>27</v>
          </cell>
          <cell r="P190">
            <v>2</v>
          </cell>
          <cell r="Q190">
            <v>353.5</v>
          </cell>
        </row>
        <row r="191">
          <cell r="A191">
            <v>8550519</v>
          </cell>
          <cell r="B191" t="str">
            <v>WAS 50 90 600X1200 BP/16 5</v>
          </cell>
          <cell r="C191" t="str">
            <v>PAROC WAS 50 Wall Slab</v>
          </cell>
          <cell r="D191" t="str">
            <v>Wall slabs &amp; boards</v>
          </cell>
          <cell r="E191">
            <v>57.6</v>
          </cell>
          <cell r="F191">
            <v>5.18</v>
          </cell>
          <cell r="G191" t="str">
            <v>m2</v>
          </cell>
          <cell r="H191">
            <v>4</v>
          </cell>
          <cell r="I191" t="str">
            <v>90 600X1200 BP/16 5</v>
          </cell>
          <cell r="J191" t="str">
            <v>BP/16 5</v>
          </cell>
          <cell r="K191" t="str">
            <v>HD</v>
          </cell>
          <cell r="L191">
            <v>90</v>
          </cell>
          <cell r="M191">
            <v>600</v>
          </cell>
          <cell r="N191">
            <v>1200</v>
          </cell>
          <cell r="O191">
            <v>16</v>
          </cell>
          <cell r="P191">
            <v>5</v>
          </cell>
          <cell r="Q191">
            <v>233.1</v>
          </cell>
        </row>
        <row r="192">
          <cell r="A192">
            <v>8500949</v>
          </cell>
          <cell r="B192" t="str">
            <v>ROS 30 80 1200X1800 PL/28</v>
          </cell>
          <cell r="C192" t="str">
            <v>PAROC ROS 30 Roof Slab</v>
          </cell>
          <cell r="D192" t="str">
            <v>Roof - Slabs and boards</v>
          </cell>
          <cell r="E192">
            <v>60.48</v>
          </cell>
          <cell r="F192">
            <v>4.84</v>
          </cell>
          <cell r="G192" t="str">
            <v>m2</v>
          </cell>
          <cell r="H192">
            <v>4</v>
          </cell>
          <cell r="I192" t="str">
            <v>80 1200X1800 PL/28</v>
          </cell>
          <cell r="J192" t="str">
            <v>PL/28</v>
          </cell>
          <cell r="K192" t="str">
            <v>HD</v>
          </cell>
          <cell r="L192">
            <v>80</v>
          </cell>
          <cell r="M192">
            <v>1200</v>
          </cell>
          <cell r="N192">
            <v>1800</v>
          </cell>
          <cell r="O192">
            <v>28</v>
          </cell>
          <cell r="Q192">
            <v>411.4</v>
          </cell>
        </row>
        <row r="193">
          <cell r="A193">
            <v>8509105</v>
          </cell>
          <cell r="B193" t="str">
            <v>SSB 1 30 600X1200 PL/21 10</v>
          </cell>
          <cell r="C193" t="str">
            <v>PAROC SSB 1 Step Sound Board</v>
          </cell>
          <cell r="D193" t="str">
            <v>Impact sound insulation</v>
          </cell>
          <cell r="E193">
            <v>151.19999999999999</v>
          </cell>
          <cell r="F193">
            <v>4.54</v>
          </cell>
          <cell r="G193" t="str">
            <v>m2</v>
          </cell>
          <cell r="H193">
            <v>4</v>
          </cell>
          <cell r="I193" t="str">
            <v>30 600X1200 PL/21 10</v>
          </cell>
          <cell r="J193" t="str">
            <v>PL/21 10</v>
          </cell>
          <cell r="K193" t="str">
            <v>HD</v>
          </cell>
          <cell r="L193">
            <v>30</v>
          </cell>
          <cell r="M193">
            <v>600</v>
          </cell>
          <cell r="N193">
            <v>1200</v>
          </cell>
          <cell r="O193">
            <v>21</v>
          </cell>
          <cell r="P193">
            <v>10</v>
          </cell>
          <cell r="Q193">
            <v>522.1</v>
          </cell>
        </row>
        <row r="194">
          <cell r="A194">
            <v>8508474</v>
          </cell>
          <cell r="B194" t="str">
            <v>ROS 30 50 1200X1800 PL/45</v>
          </cell>
          <cell r="C194" t="str">
            <v>PAROC ROS 30 Roof Slab</v>
          </cell>
          <cell r="D194" t="str">
            <v>Roof - Slabs and boards</v>
          </cell>
          <cell r="E194">
            <v>97.2</v>
          </cell>
          <cell r="F194">
            <v>4.8600000000000003</v>
          </cell>
          <cell r="G194" t="str">
            <v>m2</v>
          </cell>
          <cell r="H194">
            <v>4</v>
          </cell>
          <cell r="I194" t="str">
            <v>50 1200X1800 PL/45</v>
          </cell>
          <cell r="J194" t="str">
            <v>PL/45</v>
          </cell>
          <cell r="K194" t="str">
            <v>HD</v>
          </cell>
          <cell r="L194">
            <v>50</v>
          </cell>
          <cell r="M194">
            <v>1200</v>
          </cell>
          <cell r="N194">
            <v>1800</v>
          </cell>
          <cell r="O194">
            <v>45</v>
          </cell>
          <cell r="Q194">
            <v>413.1</v>
          </cell>
        </row>
        <row r="195">
          <cell r="A195">
            <v>8500928</v>
          </cell>
          <cell r="B195" t="str">
            <v>ROS 30 160 1200X1800 PL/14</v>
          </cell>
          <cell r="C195" t="str">
            <v>PAROC ROS 30 Roof Slab</v>
          </cell>
          <cell r="D195" t="str">
            <v>Roof - Slabs and boards</v>
          </cell>
          <cell r="E195">
            <v>30.24</v>
          </cell>
          <cell r="F195">
            <v>4.84</v>
          </cell>
          <cell r="G195" t="str">
            <v>m2</v>
          </cell>
          <cell r="H195">
            <v>4</v>
          </cell>
          <cell r="I195" t="str">
            <v>160 1200X1800 PL/14</v>
          </cell>
          <cell r="J195" t="str">
            <v>PL/14</v>
          </cell>
          <cell r="K195" t="str">
            <v>HD</v>
          </cell>
          <cell r="L195">
            <v>160</v>
          </cell>
          <cell r="M195">
            <v>1200</v>
          </cell>
          <cell r="N195">
            <v>1800</v>
          </cell>
          <cell r="O195">
            <v>14</v>
          </cell>
          <cell r="Q195">
            <v>411.4</v>
          </cell>
        </row>
        <row r="196">
          <cell r="A196">
            <v>8508325</v>
          </cell>
          <cell r="B196" t="str">
            <v>ROB 80t 20 1200X1800 PL/112</v>
          </cell>
          <cell r="C196" t="str">
            <v>PAROC ROB 80t Roof Board</v>
          </cell>
          <cell r="D196" t="str">
            <v>Roof - Slabs and boards</v>
          </cell>
          <cell r="E196">
            <v>241.92</v>
          </cell>
          <cell r="F196">
            <v>4.84</v>
          </cell>
          <cell r="G196" t="str">
            <v>m2</v>
          </cell>
          <cell r="H196">
            <v>4</v>
          </cell>
          <cell r="I196" t="str">
            <v>20 1200X1800 PL/112</v>
          </cell>
          <cell r="J196" t="str">
            <v>PL/112</v>
          </cell>
          <cell r="K196" t="str">
            <v>HD</v>
          </cell>
          <cell r="L196">
            <v>20</v>
          </cell>
          <cell r="M196">
            <v>1200</v>
          </cell>
          <cell r="N196">
            <v>1800</v>
          </cell>
          <cell r="O196">
            <v>112</v>
          </cell>
          <cell r="Q196">
            <v>847</v>
          </cell>
        </row>
        <row r="197">
          <cell r="A197">
            <v>8509107</v>
          </cell>
          <cell r="B197" t="str">
            <v>SSB 1 50 600X1200 PL/21 6</v>
          </cell>
          <cell r="C197" t="str">
            <v>PAROC SSB 1 Step Sound Board</v>
          </cell>
          <cell r="D197" t="str">
            <v>Impact sound insulation</v>
          </cell>
          <cell r="E197">
            <v>90.72</v>
          </cell>
          <cell r="F197">
            <v>4.54</v>
          </cell>
          <cell r="G197" t="str">
            <v>m2</v>
          </cell>
          <cell r="H197">
            <v>4</v>
          </cell>
          <cell r="I197" t="str">
            <v>50 600X1200 PL/21 6</v>
          </cell>
          <cell r="J197" t="str">
            <v>PL/21 6</v>
          </cell>
          <cell r="K197" t="str">
            <v>HD</v>
          </cell>
          <cell r="L197">
            <v>50</v>
          </cell>
          <cell r="M197">
            <v>600</v>
          </cell>
          <cell r="N197">
            <v>1200</v>
          </cell>
          <cell r="O197">
            <v>21</v>
          </cell>
          <cell r="P197">
            <v>6</v>
          </cell>
          <cell r="Q197">
            <v>522.1</v>
          </cell>
        </row>
        <row r="198">
          <cell r="A198">
            <v>8527703</v>
          </cell>
          <cell r="B198" t="str">
            <v>ROB 80 30 1200X1800 PL/75</v>
          </cell>
          <cell r="C198" t="str">
            <v>PAROC ROB 80 Roof Board</v>
          </cell>
          <cell r="D198" t="str">
            <v>Roof - Slabs and boards</v>
          </cell>
          <cell r="E198">
            <v>162</v>
          </cell>
          <cell r="F198">
            <v>4.8600000000000003</v>
          </cell>
          <cell r="G198" t="str">
            <v>m2</v>
          </cell>
          <cell r="H198">
            <v>4</v>
          </cell>
          <cell r="I198" t="str">
            <v>30 1200X1800 PL/75</v>
          </cell>
          <cell r="J198" t="str">
            <v>PL/75</v>
          </cell>
          <cell r="K198" t="str">
            <v>HD</v>
          </cell>
          <cell r="L198">
            <v>30</v>
          </cell>
          <cell r="M198">
            <v>1200</v>
          </cell>
          <cell r="N198">
            <v>1800</v>
          </cell>
          <cell r="O198">
            <v>75</v>
          </cell>
          <cell r="Q198">
            <v>850.5</v>
          </cell>
        </row>
        <row r="199">
          <cell r="A199">
            <v>8550128</v>
          </cell>
          <cell r="B199" t="str">
            <v>WAS 25 50 600X1200 PL/24 6</v>
          </cell>
          <cell r="C199" t="str">
            <v>PAROC WAS 25 Wall Slab</v>
          </cell>
          <cell r="D199" t="str">
            <v>Wall slabs &amp; boards</v>
          </cell>
          <cell r="E199">
            <v>103.68</v>
          </cell>
          <cell r="F199">
            <v>5.18</v>
          </cell>
          <cell r="G199" t="str">
            <v>m2</v>
          </cell>
          <cell r="H199">
            <v>4</v>
          </cell>
          <cell r="I199" t="str">
            <v>50 600X1200 PL/24 6</v>
          </cell>
          <cell r="J199" t="str">
            <v>PL/24 6</v>
          </cell>
          <cell r="K199" t="str">
            <v>HD</v>
          </cell>
          <cell r="L199">
            <v>50</v>
          </cell>
          <cell r="M199">
            <v>600</v>
          </cell>
          <cell r="N199">
            <v>1200</v>
          </cell>
          <cell r="O199">
            <v>24</v>
          </cell>
          <cell r="P199">
            <v>6</v>
          </cell>
          <cell r="Q199">
            <v>414.4</v>
          </cell>
        </row>
        <row r="200">
          <cell r="A200">
            <v>8550101</v>
          </cell>
          <cell r="B200" t="str">
            <v>WAS 35t 30 600X1200 PL/24 10</v>
          </cell>
          <cell r="C200" t="str">
            <v>PAROC WAS 35t Wall Slab</v>
          </cell>
          <cell r="D200" t="str">
            <v>Wall slabs &amp; boards</v>
          </cell>
          <cell r="E200">
            <v>172.8</v>
          </cell>
          <cell r="F200">
            <v>5.18</v>
          </cell>
          <cell r="G200" t="str">
            <v>m2</v>
          </cell>
          <cell r="H200">
            <v>4</v>
          </cell>
          <cell r="I200" t="str">
            <v>30 600X1200 PL/24 10</v>
          </cell>
          <cell r="J200" t="str">
            <v>PL/24 10</v>
          </cell>
          <cell r="K200" t="str">
            <v>HD</v>
          </cell>
          <cell r="L200">
            <v>30</v>
          </cell>
          <cell r="M200">
            <v>600</v>
          </cell>
          <cell r="N200">
            <v>1200</v>
          </cell>
          <cell r="O200">
            <v>24</v>
          </cell>
          <cell r="P200">
            <v>10</v>
          </cell>
          <cell r="Q200">
            <v>362.59999999999997</v>
          </cell>
        </row>
        <row r="201">
          <cell r="A201">
            <v>8550561</v>
          </cell>
          <cell r="B201" t="str">
            <v>eXtra 120 600X1200 BP/24 6</v>
          </cell>
          <cell r="C201" t="str">
            <v>PAROC eXtra Flexible Slab</v>
          </cell>
          <cell r="D201" t="str">
            <v>Flexible slabs &amp; mats</v>
          </cell>
          <cell r="E201">
            <v>103.68</v>
          </cell>
          <cell r="F201">
            <v>12.44</v>
          </cell>
          <cell r="G201" t="str">
            <v>m2</v>
          </cell>
          <cell r="H201">
            <v>4</v>
          </cell>
          <cell r="I201" t="str">
            <v>120 600X1200 BP/24 6</v>
          </cell>
          <cell r="J201" t="str">
            <v>BP/24 6</v>
          </cell>
          <cell r="K201" t="str">
            <v>EXL</v>
          </cell>
          <cell r="L201">
            <v>120</v>
          </cell>
          <cell r="M201">
            <v>600</v>
          </cell>
          <cell r="N201">
            <v>1200</v>
          </cell>
          <cell r="O201">
            <v>24</v>
          </cell>
          <cell r="P201">
            <v>6</v>
          </cell>
          <cell r="Q201">
            <v>348.32</v>
          </cell>
        </row>
        <row r="202">
          <cell r="A202">
            <v>8550107</v>
          </cell>
          <cell r="B202" t="str">
            <v>WAS 25t 50 600X1200 PL/24 6</v>
          </cell>
          <cell r="C202" t="str">
            <v>PAROC WAS 25t Wall Slab</v>
          </cell>
          <cell r="D202" t="str">
            <v>Wall slabs &amp; boards</v>
          </cell>
          <cell r="E202">
            <v>103.68</v>
          </cell>
          <cell r="F202">
            <v>5.18</v>
          </cell>
          <cell r="G202" t="str">
            <v>m2</v>
          </cell>
          <cell r="H202">
            <v>4</v>
          </cell>
          <cell r="I202" t="str">
            <v>50 600X1200 PL/24 6</v>
          </cell>
          <cell r="J202" t="str">
            <v>PL/24 6</v>
          </cell>
          <cell r="K202" t="str">
            <v>HD</v>
          </cell>
          <cell r="L202">
            <v>50</v>
          </cell>
          <cell r="M202">
            <v>600</v>
          </cell>
          <cell r="N202">
            <v>1200</v>
          </cell>
          <cell r="O202">
            <v>24</v>
          </cell>
          <cell r="P202">
            <v>6</v>
          </cell>
          <cell r="Q202">
            <v>414.4</v>
          </cell>
        </row>
        <row r="203">
          <cell r="A203">
            <v>8516382</v>
          </cell>
          <cell r="B203" t="str">
            <v>WAS 50 120 600X1200 BP/16 4</v>
          </cell>
          <cell r="C203" t="str">
            <v>PAROC WAS 50 Wall Slab</v>
          </cell>
          <cell r="D203" t="str">
            <v>Wall slabs &amp; boards</v>
          </cell>
          <cell r="E203">
            <v>46.08</v>
          </cell>
          <cell r="F203">
            <v>5.53</v>
          </cell>
          <cell r="G203" t="str">
            <v>m2</v>
          </cell>
          <cell r="H203">
            <v>4</v>
          </cell>
          <cell r="I203" t="str">
            <v>120 600X1200 BP/16 4</v>
          </cell>
          <cell r="J203" t="str">
            <v>BP/16 4</v>
          </cell>
          <cell r="K203" t="str">
            <v>HD</v>
          </cell>
          <cell r="L203">
            <v>120</v>
          </cell>
          <cell r="M203">
            <v>600</v>
          </cell>
          <cell r="N203">
            <v>1200</v>
          </cell>
          <cell r="O203">
            <v>16</v>
          </cell>
          <cell r="P203">
            <v>4</v>
          </cell>
          <cell r="Q203">
            <v>248.85000000000002</v>
          </cell>
        </row>
        <row r="204">
          <cell r="A204">
            <v>8548761</v>
          </cell>
          <cell r="B204" t="str">
            <v>Linio 10 130 600X1200 PL/27 2</v>
          </cell>
          <cell r="C204" t="str">
            <v>PAROC Linio 10 Rendered Facade Slab</v>
          </cell>
          <cell r="D204" t="str">
            <v>Rendered facades</v>
          </cell>
          <cell r="E204">
            <v>38.880000000000003</v>
          </cell>
          <cell r="F204">
            <v>5.05</v>
          </cell>
          <cell r="G204" t="str">
            <v>m2</v>
          </cell>
          <cell r="H204">
            <v>4</v>
          </cell>
          <cell r="I204" t="str">
            <v>130 600X1200 PL/27 2</v>
          </cell>
          <cell r="J204" t="str">
            <v>PL/27 2</v>
          </cell>
          <cell r="K204" t="str">
            <v>HD</v>
          </cell>
          <cell r="L204">
            <v>130</v>
          </cell>
          <cell r="M204">
            <v>600</v>
          </cell>
          <cell r="N204">
            <v>1200</v>
          </cell>
          <cell r="O204">
            <v>27</v>
          </cell>
          <cell r="P204">
            <v>2</v>
          </cell>
          <cell r="Q204">
            <v>388.84999999999997</v>
          </cell>
        </row>
        <row r="205">
          <cell r="A205">
            <v>8555086</v>
          </cell>
          <cell r="B205" t="str">
            <v>eXtra Smart 50 565X1220 BP/32 10</v>
          </cell>
          <cell r="C205" t="str">
            <v>PAROC eXtra Smart</v>
          </cell>
          <cell r="D205" t="str">
            <v>Flexible slabs &amp; mats</v>
          </cell>
          <cell r="E205">
            <v>220.48</v>
          </cell>
          <cell r="F205">
            <v>11.03</v>
          </cell>
          <cell r="G205" t="str">
            <v>m2</v>
          </cell>
          <cell r="H205">
            <v>4</v>
          </cell>
          <cell r="I205" t="str">
            <v>50 565X1220 BP/32 10</v>
          </cell>
          <cell r="J205" t="str">
            <v>BP/32 10</v>
          </cell>
          <cell r="K205" t="str">
            <v>LD</v>
          </cell>
          <cell r="L205">
            <v>50</v>
          </cell>
          <cell r="M205">
            <v>565</v>
          </cell>
          <cell r="N205">
            <v>1220</v>
          </cell>
          <cell r="O205">
            <v>32</v>
          </cell>
          <cell r="P205">
            <v>10</v>
          </cell>
          <cell r="Q205">
            <v>330.9</v>
          </cell>
        </row>
        <row r="206">
          <cell r="A206">
            <v>8548767</v>
          </cell>
          <cell r="B206" t="str">
            <v>Linio 10 160 600X1200 PL/21 2</v>
          </cell>
          <cell r="C206" t="str">
            <v>PAROC Linio 10 Rendered Facade Slab</v>
          </cell>
          <cell r="D206" t="str">
            <v>Rendered facades</v>
          </cell>
          <cell r="E206">
            <v>30.24</v>
          </cell>
          <cell r="F206">
            <v>4.84</v>
          </cell>
          <cell r="G206" t="str">
            <v>m2</v>
          </cell>
          <cell r="H206">
            <v>4</v>
          </cell>
          <cell r="I206" t="str">
            <v>160 600X1200 PL/21 2</v>
          </cell>
          <cell r="J206" t="str">
            <v>PL/21 2</v>
          </cell>
          <cell r="K206" t="str">
            <v>HD</v>
          </cell>
          <cell r="L206">
            <v>160</v>
          </cell>
          <cell r="M206">
            <v>600</v>
          </cell>
          <cell r="N206">
            <v>1200</v>
          </cell>
          <cell r="O206">
            <v>21</v>
          </cell>
          <cell r="P206">
            <v>2</v>
          </cell>
          <cell r="Q206">
            <v>372.68</v>
          </cell>
        </row>
        <row r="207">
          <cell r="A207">
            <v>8550099</v>
          </cell>
          <cell r="B207" t="str">
            <v>WAS 35tb 100 600X1200 PL/24 3</v>
          </cell>
          <cell r="C207" t="str">
            <v>PAROC WAS 35tb Wall Slab</v>
          </cell>
          <cell r="D207" t="str">
            <v>Wall slabs &amp; boards</v>
          </cell>
          <cell r="E207">
            <v>51.84</v>
          </cell>
          <cell r="F207">
            <v>5.18</v>
          </cell>
          <cell r="G207" t="str">
            <v>m2</v>
          </cell>
          <cell r="H207">
            <v>4</v>
          </cell>
          <cell r="I207" t="str">
            <v>100 600X1200 PL/24 3</v>
          </cell>
          <cell r="J207" t="str">
            <v>PL/24 3</v>
          </cell>
          <cell r="K207" t="str">
            <v>HD</v>
          </cell>
          <cell r="L207">
            <v>100</v>
          </cell>
          <cell r="M207">
            <v>600</v>
          </cell>
          <cell r="N207">
            <v>1200</v>
          </cell>
          <cell r="O207">
            <v>24</v>
          </cell>
          <cell r="P207">
            <v>3</v>
          </cell>
          <cell r="Q207">
            <v>362.59999999999997</v>
          </cell>
        </row>
        <row r="208">
          <cell r="A208">
            <v>8509605</v>
          </cell>
          <cell r="B208" t="str">
            <v>ROS 50 100 1200X1800 PL/22</v>
          </cell>
          <cell r="C208" t="str">
            <v>PAROC ROS 50 Roof Slab</v>
          </cell>
          <cell r="D208" t="str">
            <v>Roof - Slabs and boards</v>
          </cell>
          <cell r="E208">
            <v>47.52</v>
          </cell>
          <cell r="F208">
            <v>4.75</v>
          </cell>
          <cell r="G208" t="str">
            <v>m2</v>
          </cell>
          <cell r="H208">
            <v>4</v>
          </cell>
          <cell r="I208" t="str">
            <v>100 1200X1800 PL/22</v>
          </cell>
          <cell r="J208" t="str">
            <v>PL/22</v>
          </cell>
          <cell r="K208" t="str">
            <v>HD</v>
          </cell>
          <cell r="L208">
            <v>100</v>
          </cell>
          <cell r="M208">
            <v>1200</v>
          </cell>
          <cell r="N208">
            <v>1800</v>
          </cell>
          <cell r="O208">
            <v>22</v>
          </cell>
          <cell r="Q208">
            <v>555.75</v>
          </cell>
        </row>
        <row r="209">
          <cell r="A209">
            <v>8519488</v>
          </cell>
          <cell r="B209" t="str">
            <v>GRS 20 100 600X1200 PL/21 3</v>
          </cell>
          <cell r="C209" t="str">
            <v>PAROC GRS 20 Ground Slab</v>
          </cell>
          <cell r="D209" t="str">
            <v>Ground insulation</v>
          </cell>
          <cell r="E209">
            <v>45.36</v>
          </cell>
          <cell r="F209">
            <v>4.54</v>
          </cell>
          <cell r="G209" t="str">
            <v>m2</v>
          </cell>
          <cell r="H209">
            <v>4</v>
          </cell>
          <cell r="I209" t="str">
            <v>100 600X1200 PL/21 3</v>
          </cell>
          <cell r="J209" t="str">
            <v>PL/21 3</v>
          </cell>
          <cell r="K209" t="str">
            <v>HD</v>
          </cell>
          <cell r="L209">
            <v>100</v>
          </cell>
          <cell r="M209">
            <v>600</v>
          </cell>
          <cell r="N209">
            <v>1200</v>
          </cell>
          <cell r="O209">
            <v>21</v>
          </cell>
          <cell r="P209">
            <v>3</v>
          </cell>
          <cell r="Q209">
            <v>408.6</v>
          </cell>
        </row>
        <row r="210">
          <cell r="A210">
            <v>8551796</v>
          </cell>
          <cell r="B210" t="str">
            <v>Linio 10 70 600X1200 PL/24 4</v>
          </cell>
          <cell r="C210" t="str">
            <v>PAROC Linio 10 Rendered Facade Slab</v>
          </cell>
          <cell r="D210" t="str">
            <v>Rendered facades</v>
          </cell>
          <cell r="E210">
            <v>69.12</v>
          </cell>
          <cell r="F210">
            <v>4.84</v>
          </cell>
          <cell r="G210" t="str">
            <v>m2</v>
          </cell>
          <cell r="H210">
            <v>4</v>
          </cell>
          <cell r="I210" t="str">
            <v>70 600X1200 PL/24 4</v>
          </cell>
          <cell r="J210" t="str">
            <v>PL/24 4</v>
          </cell>
          <cell r="K210" t="str">
            <v>HD</v>
          </cell>
          <cell r="L210">
            <v>70</v>
          </cell>
          <cell r="M210">
            <v>600</v>
          </cell>
          <cell r="N210">
            <v>1200</v>
          </cell>
          <cell r="O210">
            <v>24</v>
          </cell>
          <cell r="P210">
            <v>4</v>
          </cell>
          <cell r="Q210">
            <v>372.68</v>
          </cell>
        </row>
        <row r="211">
          <cell r="A211">
            <v>8516383</v>
          </cell>
          <cell r="B211" t="str">
            <v>WAS 50 150 600X1200 BP/16 3</v>
          </cell>
          <cell r="C211" t="str">
            <v>PAROC WAS 50 Wall Slab</v>
          </cell>
          <cell r="D211" t="str">
            <v>Wall slabs &amp; boards</v>
          </cell>
          <cell r="E211">
            <v>34.56</v>
          </cell>
          <cell r="F211">
            <v>5.18</v>
          </cell>
          <cell r="G211" t="str">
            <v>m2</v>
          </cell>
          <cell r="H211">
            <v>4</v>
          </cell>
          <cell r="I211" t="str">
            <v>150 600X1200 BP/16 3</v>
          </cell>
          <cell r="J211" t="str">
            <v>BP/16 3</v>
          </cell>
          <cell r="K211" t="str">
            <v>HD</v>
          </cell>
          <cell r="L211">
            <v>150</v>
          </cell>
          <cell r="M211">
            <v>600</v>
          </cell>
          <cell r="N211">
            <v>1200</v>
          </cell>
          <cell r="O211">
            <v>16</v>
          </cell>
          <cell r="P211">
            <v>3</v>
          </cell>
          <cell r="Q211">
            <v>233.1</v>
          </cell>
        </row>
        <row r="212">
          <cell r="A212">
            <v>8552615</v>
          </cell>
          <cell r="B212" t="str">
            <v>GRS 30 30 600X1200 PL/36 6</v>
          </cell>
          <cell r="C212" t="str">
            <v>PAROC GRS 30 Ground Slab</v>
          </cell>
          <cell r="D212" t="str">
            <v>Ground insulation</v>
          </cell>
          <cell r="E212">
            <v>155.52000000000001</v>
          </cell>
          <cell r="F212">
            <v>4.67</v>
          </cell>
          <cell r="G212" t="str">
            <v>m2</v>
          </cell>
          <cell r="H212">
            <v>4</v>
          </cell>
          <cell r="I212" t="str">
            <v>30 600X1200 PL/36 6</v>
          </cell>
          <cell r="J212" t="str">
            <v>PL/36 6</v>
          </cell>
          <cell r="K212" t="str">
            <v>HD</v>
          </cell>
          <cell r="L212">
            <v>30</v>
          </cell>
          <cell r="M212">
            <v>600</v>
          </cell>
          <cell r="N212">
            <v>1200</v>
          </cell>
          <cell r="O212">
            <v>36</v>
          </cell>
          <cell r="P212">
            <v>6</v>
          </cell>
          <cell r="Q212">
            <v>537.04999999999995</v>
          </cell>
        </row>
        <row r="213">
          <cell r="A213">
            <v>8551019</v>
          </cell>
          <cell r="B213" t="str">
            <v>WAS 35 70 600X1200 PL/21 5</v>
          </cell>
          <cell r="C213" t="str">
            <v>PAROC WAS 35 Wall Slab</v>
          </cell>
          <cell r="D213" t="str">
            <v>Wall slabs &amp; boards</v>
          </cell>
          <cell r="E213">
            <v>75.599999999999994</v>
          </cell>
          <cell r="F213">
            <v>5.29</v>
          </cell>
          <cell r="G213" t="str">
            <v>m2</v>
          </cell>
          <cell r="H213">
            <v>4</v>
          </cell>
          <cell r="I213" t="str">
            <v>70 600X1200 PL/21 5</v>
          </cell>
          <cell r="J213" t="str">
            <v>PL/21 5</v>
          </cell>
          <cell r="K213" t="str">
            <v>HD</v>
          </cell>
          <cell r="L213">
            <v>70</v>
          </cell>
          <cell r="M213">
            <v>600</v>
          </cell>
          <cell r="N213">
            <v>1200</v>
          </cell>
          <cell r="O213">
            <v>21</v>
          </cell>
          <cell r="P213">
            <v>5</v>
          </cell>
          <cell r="Q213">
            <v>370.3</v>
          </cell>
        </row>
        <row r="214">
          <cell r="A214">
            <v>8553872</v>
          </cell>
          <cell r="B214" t="str">
            <v>eXtra 130 600X1200 BP/24 6</v>
          </cell>
          <cell r="C214" t="str">
            <v>PAROC eXtra Flexible Slab</v>
          </cell>
          <cell r="D214" t="str">
            <v>Flexible slabs &amp; mats</v>
          </cell>
          <cell r="E214">
            <v>103.68</v>
          </cell>
          <cell r="F214">
            <v>13.48</v>
          </cell>
          <cell r="G214" t="str">
            <v>m2</v>
          </cell>
          <cell r="H214">
            <v>4</v>
          </cell>
          <cell r="I214" t="str">
            <v>130 600X1200 BP/24 6</v>
          </cell>
          <cell r="J214" t="str">
            <v>BP/24 6</v>
          </cell>
          <cell r="K214" t="str">
            <v>EXL</v>
          </cell>
          <cell r="L214">
            <v>130</v>
          </cell>
          <cell r="M214">
            <v>600</v>
          </cell>
          <cell r="N214">
            <v>1200</v>
          </cell>
          <cell r="O214">
            <v>24</v>
          </cell>
          <cell r="P214">
            <v>6</v>
          </cell>
          <cell r="Q214">
            <v>377.44</v>
          </cell>
        </row>
        <row r="215">
          <cell r="A215">
            <v>8553912</v>
          </cell>
          <cell r="B215" t="str">
            <v>Linio 20 80 600X1200 PL/30 3</v>
          </cell>
          <cell r="C215" t="str">
            <v>PAROC Linio 20 Rendered Facade Slab</v>
          </cell>
          <cell r="D215" t="str">
            <v>Rendered facades</v>
          </cell>
          <cell r="E215">
            <v>64.8</v>
          </cell>
          <cell r="F215">
            <v>5.18</v>
          </cell>
          <cell r="G215" t="str">
            <v>m2</v>
          </cell>
          <cell r="H215">
            <v>4</v>
          </cell>
          <cell r="I215" t="str">
            <v>80 600X1200 PL/30 3</v>
          </cell>
          <cell r="J215" t="str">
            <v>PL/30 3</v>
          </cell>
          <cell r="K215" t="str">
            <v>HD</v>
          </cell>
          <cell r="L215">
            <v>80</v>
          </cell>
          <cell r="M215">
            <v>600</v>
          </cell>
          <cell r="N215">
            <v>1200</v>
          </cell>
          <cell r="O215">
            <v>30</v>
          </cell>
          <cell r="P215">
            <v>3</v>
          </cell>
          <cell r="Q215">
            <v>569.79999999999995</v>
          </cell>
        </row>
        <row r="216">
          <cell r="A216">
            <v>8538682</v>
          </cell>
          <cell r="B216" t="str">
            <v>eXtra plus 50 610X1220 BP/16 12</v>
          </cell>
          <cell r="C216" t="str">
            <v>PAROC eXtra plus Flexible slab</v>
          </cell>
          <cell r="D216" t="str">
            <v>Flexible slabs &amp; mats</v>
          </cell>
          <cell r="E216">
            <v>142.88</v>
          </cell>
          <cell r="F216">
            <v>7.14</v>
          </cell>
          <cell r="G216" t="str">
            <v>m2</v>
          </cell>
          <cell r="H216">
            <v>4</v>
          </cell>
          <cell r="I216" t="str">
            <v>50 610X1220 BP/16 12</v>
          </cell>
          <cell r="J216" t="str">
            <v>BP/16 12</v>
          </cell>
          <cell r="K216" t="str">
            <v>MD</v>
          </cell>
          <cell r="L216">
            <v>50</v>
          </cell>
          <cell r="M216">
            <v>610</v>
          </cell>
          <cell r="N216">
            <v>1220</v>
          </cell>
          <cell r="O216">
            <v>16</v>
          </cell>
          <cell r="P216">
            <v>12</v>
          </cell>
          <cell r="Q216">
            <v>285.59999999999997</v>
          </cell>
        </row>
        <row r="217">
          <cell r="A217">
            <v>8555754</v>
          </cell>
          <cell r="B217" t="str">
            <v>Linio 20 170 600X1200 PL/21 2</v>
          </cell>
          <cell r="C217" t="str">
            <v>PAROC Linio 20 Rendered Facade Slab</v>
          </cell>
          <cell r="D217" t="str">
            <v>Rendered facades</v>
          </cell>
          <cell r="E217">
            <v>30.24</v>
          </cell>
          <cell r="F217">
            <v>5.14</v>
          </cell>
          <cell r="G217" t="str">
            <v>m2</v>
          </cell>
          <cell r="H217">
            <v>4</v>
          </cell>
          <cell r="I217" t="str">
            <v>170 600X1200 PL/21 2</v>
          </cell>
          <cell r="J217" t="str">
            <v>PL/21 2</v>
          </cell>
          <cell r="K217" t="str">
            <v>HD</v>
          </cell>
          <cell r="L217">
            <v>170</v>
          </cell>
          <cell r="M217">
            <v>600</v>
          </cell>
          <cell r="N217">
            <v>1200</v>
          </cell>
          <cell r="O217">
            <v>21</v>
          </cell>
          <cell r="P217">
            <v>2</v>
          </cell>
          <cell r="Q217">
            <v>565.4</v>
          </cell>
        </row>
        <row r="218">
          <cell r="A218">
            <v>8555874</v>
          </cell>
          <cell r="B218" t="str">
            <v>Linio 20 180 600X1200 PL/18 2</v>
          </cell>
          <cell r="C218" t="str">
            <v>PAROC Linio 20 Rendered Facade Slab</v>
          </cell>
          <cell r="D218" t="str">
            <v>Rendered facades</v>
          </cell>
          <cell r="E218">
            <v>25.92</v>
          </cell>
          <cell r="F218">
            <v>4.67</v>
          </cell>
          <cell r="G218" t="str">
            <v>m2</v>
          </cell>
          <cell r="H218">
            <v>4</v>
          </cell>
          <cell r="I218" t="str">
            <v>180 600X1200 PL/18 2</v>
          </cell>
          <cell r="J218" t="str">
            <v>PL/18 2</v>
          </cell>
          <cell r="K218" t="str">
            <v>HD</v>
          </cell>
          <cell r="L218">
            <v>180</v>
          </cell>
          <cell r="M218">
            <v>600</v>
          </cell>
          <cell r="N218">
            <v>1200</v>
          </cell>
          <cell r="O218">
            <v>18</v>
          </cell>
          <cell r="P218">
            <v>2</v>
          </cell>
          <cell r="Q218">
            <v>513.70000000000005</v>
          </cell>
        </row>
        <row r="219">
          <cell r="A219">
            <v>8555922</v>
          </cell>
          <cell r="B219" t="str">
            <v>SSB 4 100 600X1200 PL/24 3</v>
          </cell>
          <cell r="C219" t="str">
            <v>PAROC SSB 4 Step Sound Board</v>
          </cell>
          <cell r="D219" t="str">
            <v>Impact sound insulation</v>
          </cell>
          <cell r="E219">
            <v>51.84</v>
          </cell>
          <cell r="F219">
            <v>5.18</v>
          </cell>
          <cell r="G219" t="str">
            <v>m2</v>
          </cell>
          <cell r="H219">
            <v>4</v>
          </cell>
          <cell r="I219" t="str">
            <v>100 600X1200 PL/24 3</v>
          </cell>
          <cell r="J219" t="str">
            <v>PL/24 3</v>
          </cell>
          <cell r="K219" t="str">
            <v>HD</v>
          </cell>
          <cell r="L219">
            <v>100</v>
          </cell>
          <cell r="M219">
            <v>600</v>
          </cell>
          <cell r="N219">
            <v>1200</v>
          </cell>
          <cell r="O219">
            <v>24</v>
          </cell>
          <cell r="P219">
            <v>3</v>
          </cell>
          <cell r="Q219">
            <v>497.28</v>
          </cell>
        </row>
        <row r="220">
          <cell r="A220">
            <v>8509602</v>
          </cell>
          <cell r="B220" t="str">
            <v>ROS 50 60 1200X1800 PL/37</v>
          </cell>
          <cell r="C220" t="str">
            <v>PAROC ROS 50 Roof Slab</v>
          </cell>
          <cell r="D220" t="str">
            <v>Roof - Slabs and boards</v>
          </cell>
          <cell r="E220">
            <v>79.92</v>
          </cell>
          <cell r="F220">
            <v>4.8</v>
          </cell>
          <cell r="G220" t="str">
            <v>m2</v>
          </cell>
          <cell r="H220">
            <v>4</v>
          </cell>
          <cell r="I220" t="str">
            <v>60 1200X1800 PL/37</v>
          </cell>
          <cell r="J220" t="str">
            <v>PL/37</v>
          </cell>
          <cell r="K220" t="str">
            <v>HD</v>
          </cell>
          <cell r="L220">
            <v>60</v>
          </cell>
          <cell r="M220">
            <v>1200</v>
          </cell>
          <cell r="N220">
            <v>1800</v>
          </cell>
          <cell r="O220">
            <v>37</v>
          </cell>
          <cell r="Q220">
            <v>561.6</v>
          </cell>
        </row>
        <row r="221">
          <cell r="A221">
            <v>8539864</v>
          </cell>
          <cell r="B221" t="str">
            <v>ROS 30 40 600X1200 PL/33 5</v>
          </cell>
          <cell r="C221" t="str">
            <v>PAROC ROS 30 Roof Slab</v>
          </cell>
          <cell r="D221" t="str">
            <v>Roof - Slabs and boards</v>
          </cell>
          <cell r="E221">
            <v>118.8</v>
          </cell>
          <cell r="F221">
            <v>4.75</v>
          </cell>
          <cell r="G221" t="str">
            <v>m2</v>
          </cell>
          <cell r="H221">
            <v>4</v>
          </cell>
          <cell r="I221" t="str">
            <v>40 600X1200 PL/33 5</v>
          </cell>
          <cell r="J221" t="str">
            <v>PL/33 5</v>
          </cell>
          <cell r="K221" t="str">
            <v>HD</v>
          </cell>
          <cell r="L221">
            <v>40</v>
          </cell>
          <cell r="M221">
            <v>600</v>
          </cell>
          <cell r="N221">
            <v>1200</v>
          </cell>
          <cell r="O221">
            <v>33</v>
          </cell>
          <cell r="P221">
            <v>5</v>
          </cell>
          <cell r="Q221">
            <v>403.75</v>
          </cell>
        </row>
        <row r="222">
          <cell r="A222">
            <v>8557498</v>
          </cell>
          <cell r="B222" t="str">
            <v>Linio 20 250 600X1200 PL/30 1</v>
          </cell>
          <cell r="C222" t="str">
            <v>PAROC Linio 20 Rendered Facade Slab</v>
          </cell>
          <cell r="D222" t="str">
            <v>Rendered facades</v>
          </cell>
          <cell r="E222">
            <v>21.6</v>
          </cell>
          <cell r="F222">
            <v>5.4</v>
          </cell>
          <cell r="G222" t="str">
            <v>m2</v>
          </cell>
          <cell r="H222">
            <v>4</v>
          </cell>
          <cell r="I222" t="str">
            <v>250 600X1200 PL/30 1</v>
          </cell>
          <cell r="J222" t="str">
            <v>PL/30 1</v>
          </cell>
          <cell r="K222" t="str">
            <v>HD</v>
          </cell>
          <cell r="L222">
            <v>250</v>
          </cell>
          <cell r="M222">
            <v>600</v>
          </cell>
          <cell r="N222">
            <v>1200</v>
          </cell>
          <cell r="O222">
            <v>30</v>
          </cell>
          <cell r="P222">
            <v>1</v>
          </cell>
          <cell r="Q222">
            <v>594</v>
          </cell>
        </row>
        <row r="223">
          <cell r="A223">
            <v>8557537</v>
          </cell>
          <cell r="B223" t="str">
            <v>InWall 110 600X1200 BP/16 6</v>
          </cell>
          <cell r="C223" t="str">
            <v>PAROC InWall Wall Slab</v>
          </cell>
          <cell r="D223" t="str">
            <v>Wall slabs &amp; boards</v>
          </cell>
          <cell r="E223">
            <v>69.12</v>
          </cell>
          <cell r="F223">
            <v>7.6</v>
          </cell>
          <cell r="G223" t="str">
            <v>m2</v>
          </cell>
          <cell r="H223">
            <v>4</v>
          </cell>
          <cell r="I223" t="str">
            <v>110 600X1200 BP/16 6</v>
          </cell>
          <cell r="J223" t="str">
            <v>BP/16 6</v>
          </cell>
          <cell r="K223" t="str">
            <v>MD</v>
          </cell>
          <cell r="L223">
            <v>110</v>
          </cell>
          <cell r="M223">
            <v>600</v>
          </cell>
          <cell r="N223">
            <v>1200</v>
          </cell>
          <cell r="O223">
            <v>16</v>
          </cell>
          <cell r="P223">
            <v>6</v>
          </cell>
          <cell r="Q223">
            <v>288.8</v>
          </cell>
        </row>
        <row r="224">
          <cell r="A224">
            <v>8508705</v>
          </cell>
          <cell r="B224" t="str">
            <v>ROS 60 110 1200X1800 PL/20</v>
          </cell>
          <cell r="C224" t="str">
            <v>PAROC ROS 60 Roof Slab</v>
          </cell>
          <cell r="D224" t="str">
            <v>Roof - Slabs and boards</v>
          </cell>
          <cell r="E224">
            <v>43.2</v>
          </cell>
          <cell r="F224">
            <v>4.75</v>
          </cell>
          <cell r="G224" t="str">
            <v>m2</v>
          </cell>
          <cell r="H224">
            <v>4</v>
          </cell>
          <cell r="I224" t="str">
            <v>110 1200X1800 PL/20</v>
          </cell>
          <cell r="J224" t="str">
            <v>PL/20</v>
          </cell>
          <cell r="K224" t="str">
            <v>HD</v>
          </cell>
          <cell r="L224">
            <v>110</v>
          </cell>
          <cell r="M224">
            <v>1200</v>
          </cell>
          <cell r="N224">
            <v>1800</v>
          </cell>
          <cell r="O224">
            <v>20</v>
          </cell>
          <cell r="Q224">
            <v>570</v>
          </cell>
        </row>
        <row r="225">
          <cell r="A225">
            <v>8557745</v>
          </cell>
          <cell r="B225" t="str">
            <v>WAS 120 90 600X1200 BP/24 8</v>
          </cell>
          <cell r="C225" t="str">
            <v>PAROC WAS 120 Wall Slab</v>
          </cell>
          <cell r="D225" t="str">
            <v>Wall slabs &amp; boards</v>
          </cell>
          <cell r="E225">
            <v>138.24</v>
          </cell>
          <cell r="F225">
            <v>12.44</v>
          </cell>
          <cell r="G225" t="str">
            <v>m2</v>
          </cell>
          <cell r="H225">
            <v>4</v>
          </cell>
          <cell r="I225" t="str">
            <v>90 600X1200 BP/24 8</v>
          </cell>
          <cell r="J225" t="str">
            <v>BP/24 8</v>
          </cell>
          <cell r="K225" t="str">
            <v>EXL</v>
          </cell>
          <cell r="L225">
            <v>90</v>
          </cell>
          <cell r="M225">
            <v>600</v>
          </cell>
          <cell r="N225">
            <v>1200</v>
          </cell>
          <cell r="O225">
            <v>24</v>
          </cell>
          <cell r="P225">
            <v>8</v>
          </cell>
          <cell r="Q225">
            <v>373.2</v>
          </cell>
        </row>
        <row r="226">
          <cell r="A226">
            <v>8558704</v>
          </cell>
          <cell r="B226" t="str">
            <v>Fatio 70 600X1200 PL/21 5</v>
          </cell>
          <cell r="C226" t="str">
            <v>PAROC Fatio Rendered Facade Slab</v>
          </cell>
          <cell r="D226" t="str">
            <v>Rendered facades</v>
          </cell>
          <cell r="E226">
            <v>75.599999999999994</v>
          </cell>
          <cell r="F226">
            <v>5.29</v>
          </cell>
          <cell r="G226" t="str">
            <v>m2</v>
          </cell>
          <cell r="H226">
            <v>4</v>
          </cell>
          <cell r="I226" t="str">
            <v>70 600X1200 PL/21 5</v>
          </cell>
          <cell r="J226" t="str">
            <v>PL/21 5</v>
          </cell>
          <cell r="K226" t="str">
            <v>HD</v>
          </cell>
          <cell r="L226">
            <v>70</v>
          </cell>
          <cell r="M226">
            <v>600</v>
          </cell>
          <cell r="N226">
            <v>1200</v>
          </cell>
          <cell r="O226">
            <v>21</v>
          </cell>
          <cell r="P226">
            <v>5</v>
          </cell>
          <cell r="Q226">
            <v>370.3</v>
          </cell>
        </row>
        <row r="227">
          <cell r="A227">
            <v>8508697</v>
          </cell>
          <cell r="B227" t="str">
            <v>ROS 60 80 1200X1800 PL/28</v>
          </cell>
          <cell r="C227" t="str">
            <v>PAROC ROS 60 Roof Slab</v>
          </cell>
          <cell r="D227" t="str">
            <v>Roof - Slabs and boards</v>
          </cell>
          <cell r="E227">
            <v>60.48</v>
          </cell>
          <cell r="F227">
            <v>4.84</v>
          </cell>
          <cell r="G227" t="str">
            <v>m2</v>
          </cell>
          <cell r="H227">
            <v>4</v>
          </cell>
          <cell r="I227" t="str">
            <v>80 1200X1800 PL/28</v>
          </cell>
          <cell r="J227" t="str">
            <v>PL/28</v>
          </cell>
          <cell r="K227" t="str">
            <v>HD</v>
          </cell>
          <cell r="L227">
            <v>80</v>
          </cell>
          <cell r="M227">
            <v>1200</v>
          </cell>
          <cell r="N227">
            <v>1800</v>
          </cell>
          <cell r="O227">
            <v>28</v>
          </cell>
          <cell r="Q227">
            <v>580.79999999999995</v>
          </cell>
        </row>
        <row r="228">
          <cell r="A228">
            <v>8564600</v>
          </cell>
          <cell r="B228" t="str">
            <v>InWall 160 600X1200 BP/16 4</v>
          </cell>
          <cell r="C228" t="str">
            <v>PAROC InWall Wall Slab</v>
          </cell>
          <cell r="D228" t="str">
            <v>Wall slabs &amp; boards</v>
          </cell>
          <cell r="E228">
            <v>48.06</v>
          </cell>
          <cell r="F228">
            <v>7.37</v>
          </cell>
          <cell r="G228" t="str">
            <v>m2</v>
          </cell>
          <cell r="H228">
            <v>4</v>
          </cell>
          <cell r="I228" t="str">
            <v>160 600X1200 BP/16 4</v>
          </cell>
          <cell r="J228" t="str">
            <v>BP/16 4</v>
          </cell>
          <cell r="K228" t="str">
            <v>MD</v>
          </cell>
          <cell r="L228">
            <v>160</v>
          </cell>
          <cell r="M228">
            <v>600</v>
          </cell>
          <cell r="N228">
            <v>1200</v>
          </cell>
          <cell r="O228">
            <v>16</v>
          </cell>
          <cell r="P228">
            <v>4</v>
          </cell>
          <cell r="Q228">
            <v>280.06</v>
          </cell>
        </row>
        <row r="229">
          <cell r="A229">
            <v>8518481</v>
          </cell>
          <cell r="B229" t="str">
            <v>ROS 30 80 600X1200 PL/27 3</v>
          </cell>
          <cell r="C229" t="str">
            <v>PAROC ROS 30 Roof Slab</v>
          </cell>
          <cell r="D229" t="str">
            <v>Roof - Slabs and boards</v>
          </cell>
          <cell r="E229">
            <v>58.32</v>
          </cell>
          <cell r="F229">
            <v>4.67</v>
          </cell>
          <cell r="G229" t="str">
            <v>m2</v>
          </cell>
          <cell r="H229">
            <v>4</v>
          </cell>
          <cell r="I229" t="str">
            <v>80 600X1200 PL/27 3</v>
          </cell>
          <cell r="J229" t="str">
            <v>PL/27 3</v>
          </cell>
          <cell r="K229" t="str">
            <v>HD</v>
          </cell>
          <cell r="L229">
            <v>80</v>
          </cell>
          <cell r="M229">
            <v>600</v>
          </cell>
          <cell r="N229">
            <v>1200</v>
          </cell>
          <cell r="O229">
            <v>27</v>
          </cell>
          <cell r="P229">
            <v>3</v>
          </cell>
          <cell r="Q229">
            <v>396.95</v>
          </cell>
        </row>
        <row r="230">
          <cell r="A230">
            <v>8518464</v>
          </cell>
          <cell r="B230" t="str">
            <v>ROS 40 200 1200X1800 PL/11</v>
          </cell>
          <cell r="C230" t="str">
            <v>PAROC ROS 40 Roof Slab</v>
          </cell>
          <cell r="D230" t="str">
            <v>Roof - Slabs and boards</v>
          </cell>
          <cell r="E230">
            <v>23.76</v>
          </cell>
          <cell r="F230">
            <v>4.75</v>
          </cell>
          <cell r="G230" t="str">
            <v>m2</v>
          </cell>
          <cell r="H230">
            <v>4</v>
          </cell>
          <cell r="I230" t="str">
            <v>200 1200X1800 PL/11</v>
          </cell>
          <cell r="J230" t="str">
            <v>PL/11</v>
          </cell>
          <cell r="K230" t="str">
            <v>HD</v>
          </cell>
          <cell r="L230">
            <v>200</v>
          </cell>
          <cell r="M230">
            <v>1200</v>
          </cell>
          <cell r="N230">
            <v>1800</v>
          </cell>
          <cell r="O230">
            <v>11</v>
          </cell>
          <cell r="Q230">
            <v>456</v>
          </cell>
        </row>
        <row r="231">
          <cell r="A231">
            <v>8548872</v>
          </cell>
          <cell r="B231" t="str">
            <v>Linio 15 170 600X1200 PL/21 2</v>
          </cell>
          <cell r="C231" t="str">
            <v>PAROC Linio 15 Rendered Facade Slab</v>
          </cell>
          <cell r="D231" t="str">
            <v>Rendered facades</v>
          </cell>
          <cell r="E231">
            <v>30.24</v>
          </cell>
          <cell r="F231">
            <v>5.14</v>
          </cell>
          <cell r="G231" t="str">
            <v>m2</v>
          </cell>
          <cell r="H231">
            <v>4</v>
          </cell>
          <cell r="I231" t="str">
            <v>170 600X1200 PL/21 2</v>
          </cell>
          <cell r="J231" t="str">
            <v>PL/21 2</v>
          </cell>
          <cell r="K231" t="str">
            <v>HD</v>
          </cell>
          <cell r="L231">
            <v>170</v>
          </cell>
          <cell r="M231">
            <v>600</v>
          </cell>
          <cell r="N231">
            <v>1200</v>
          </cell>
          <cell r="O231">
            <v>21</v>
          </cell>
          <cell r="P231">
            <v>2</v>
          </cell>
          <cell r="Q231">
            <v>447.17999999999995</v>
          </cell>
        </row>
        <row r="232">
          <cell r="A232">
            <v>8550338</v>
          </cell>
          <cell r="B232" t="str">
            <v>WAS 35t 150 600X1200 PL/24 2</v>
          </cell>
          <cell r="C232" t="str">
            <v>PAROC WAS 35t Wall Slab</v>
          </cell>
          <cell r="D232" t="str">
            <v>Wall slabs &amp; boards</v>
          </cell>
          <cell r="E232">
            <v>34.56</v>
          </cell>
          <cell r="F232">
            <v>5.18</v>
          </cell>
          <cell r="G232" t="str">
            <v>m2</v>
          </cell>
          <cell r="H232">
            <v>4</v>
          </cell>
          <cell r="I232" t="str">
            <v>150 600X1200 PL/24 2</v>
          </cell>
          <cell r="J232" t="str">
            <v>PL/24 2</v>
          </cell>
          <cell r="K232" t="str">
            <v>HD</v>
          </cell>
          <cell r="L232">
            <v>150</v>
          </cell>
          <cell r="M232">
            <v>600</v>
          </cell>
          <cell r="N232">
            <v>1200</v>
          </cell>
          <cell r="O232">
            <v>24</v>
          </cell>
          <cell r="P232">
            <v>2</v>
          </cell>
          <cell r="Q232">
            <v>362.59999999999997</v>
          </cell>
        </row>
        <row r="233">
          <cell r="A233">
            <v>8567255</v>
          </cell>
          <cell r="B233" t="str">
            <v>eXtra Light 150 565X1220 BP/24 5</v>
          </cell>
          <cell r="C233" t="str">
            <v>PAROC eXtra Light Flexible slab</v>
          </cell>
          <cell r="D233" t="str">
            <v>Flexible slabs &amp; mats</v>
          </cell>
          <cell r="E233">
            <v>82.8</v>
          </cell>
          <cell r="F233">
            <v>12.41</v>
          </cell>
          <cell r="G233" t="str">
            <v>m2</v>
          </cell>
          <cell r="H233">
            <v>4</v>
          </cell>
          <cell r="I233" t="str">
            <v>150 565X1220 BP/24 5</v>
          </cell>
          <cell r="J233" t="str">
            <v>BP/24 5</v>
          </cell>
          <cell r="K233" t="str">
            <v>EXL</v>
          </cell>
          <cell r="L233">
            <v>150</v>
          </cell>
          <cell r="M233">
            <v>565</v>
          </cell>
          <cell r="N233">
            <v>1220</v>
          </cell>
          <cell r="O233">
            <v>24</v>
          </cell>
          <cell r="P233">
            <v>5</v>
          </cell>
          <cell r="Q233">
            <v>297.84000000000003</v>
          </cell>
        </row>
        <row r="234">
          <cell r="A234">
            <v>8567860</v>
          </cell>
          <cell r="B234" t="str">
            <v>ROL 60 100 200X1480 PL/132</v>
          </cell>
          <cell r="C234" t="str">
            <v>PAROC ROL 60 Roof Lamella</v>
          </cell>
          <cell r="D234" t="str">
            <v>Roof - Combination pallets</v>
          </cell>
          <cell r="E234">
            <v>39.07</v>
          </cell>
          <cell r="F234">
            <v>3.91</v>
          </cell>
          <cell r="G234" t="str">
            <v>m2</v>
          </cell>
          <cell r="H234">
            <v>4</v>
          </cell>
          <cell r="I234" t="str">
            <v>100 200X1480 PL/132</v>
          </cell>
          <cell r="J234" t="str">
            <v>PL/132</v>
          </cell>
          <cell r="K234" t="str">
            <v>HD</v>
          </cell>
          <cell r="L234">
            <v>100</v>
          </cell>
          <cell r="M234">
            <v>200</v>
          </cell>
          <cell r="N234">
            <v>1480</v>
          </cell>
          <cell r="O234">
            <v>132</v>
          </cell>
          <cell r="Q234">
            <v>312.8</v>
          </cell>
        </row>
        <row r="235">
          <cell r="A235">
            <v>8568250</v>
          </cell>
          <cell r="B235" t="str">
            <v>ROL 40 100 200X1480 PL/132</v>
          </cell>
          <cell r="C235" t="str">
            <v>PAROC ROL 40 Roof Lamella</v>
          </cell>
          <cell r="D235" t="str">
            <v>Roof - Combination pallets</v>
          </cell>
          <cell r="E235">
            <v>39.07</v>
          </cell>
          <cell r="F235">
            <v>3.91</v>
          </cell>
          <cell r="G235" t="str">
            <v>m2</v>
          </cell>
          <cell r="H235">
            <v>4</v>
          </cell>
          <cell r="I235" t="str">
            <v>100 200X1480 PL/132</v>
          </cell>
          <cell r="J235" t="str">
            <v>PL/132</v>
          </cell>
          <cell r="K235" t="str">
            <v>HD</v>
          </cell>
          <cell r="L235">
            <v>100</v>
          </cell>
          <cell r="M235">
            <v>200</v>
          </cell>
          <cell r="N235">
            <v>1480</v>
          </cell>
          <cell r="O235">
            <v>132</v>
          </cell>
          <cell r="Q235">
            <v>285.43</v>
          </cell>
        </row>
        <row r="236">
          <cell r="A236">
            <v>8568973</v>
          </cell>
          <cell r="B236" t="str">
            <v>InWall 190 600X1200 BP/16 3</v>
          </cell>
          <cell r="C236" t="str">
            <v>PAROC InWall Wall Slab</v>
          </cell>
          <cell r="D236" t="str">
            <v>Wall slabs &amp; boards</v>
          </cell>
          <cell r="E236">
            <v>34.56</v>
          </cell>
          <cell r="F236">
            <v>6.57</v>
          </cell>
          <cell r="G236" t="str">
            <v>m2</v>
          </cell>
          <cell r="H236">
            <v>4</v>
          </cell>
          <cell r="I236" t="str">
            <v>190 600X1200 BP/16 3</v>
          </cell>
          <cell r="J236" t="str">
            <v>BP/16 3</v>
          </cell>
          <cell r="K236" t="str">
            <v>LD</v>
          </cell>
          <cell r="L236">
            <v>190</v>
          </cell>
          <cell r="M236">
            <v>600</v>
          </cell>
          <cell r="N236">
            <v>1200</v>
          </cell>
          <cell r="O236">
            <v>16</v>
          </cell>
          <cell r="P236">
            <v>3</v>
          </cell>
          <cell r="Q236">
            <v>249.66000000000003</v>
          </cell>
        </row>
        <row r="237">
          <cell r="A237">
            <v>8569413</v>
          </cell>
          <cell r="B237" t="str">
            <v>SSB 1 25 600X1200 PL/36 8</v>
          </cell>
          <cell r="C237" t="str">
            <v>PAROC SSB 1 Step Sound Board</v>
          </cell>
          <cell r="D237" t="str">
            <v>Impact sound insulation</v>
          </cell>
          <cell r="E237">
            <v>207.36</v>
          </cell>
          <cell r="F237">
            <v>5.18</v>
          </cell>
          <cell r="G237" t="str">
            <v>m2</v>
          </cell>
          <cell r="H237">
            <v>4</v>
          </cell>
          <cell r="I237" t="str">
            <v>25 600X1200 PL/36 8</v>
          </cell>
          <cell r="J237" t="str">
            <v>PL/36 8</v>
          </cell>
          <cell r="K237" t="str">
            <v>HD</v>
          </cell>
          <cell r="L237">
            <v>25</v>
          </cell>
          <cell r="M237">
            <v>600</v>
          </cell>
          <cell r="N237">
            <v>1200</v>
          </cell>
          <cell r="O237">
            <v>36</v>
          </cell>
          <cell r="P237">
            <v>8</v>
          </cell>
          <cell r="Q237">
            <v>595.69999999999993</v>
          </cell>
        </row>
        <row r="238">
          <cell r="A238">
            <v>8569455</v>
          </cell>
          <cell r="B238" t="str">
            <v>CGL 20 50 200X1200 PL/264</v>
          </cell>
          <cell r="C238" t="str">
            <v>PAROC CGL 20 Ceiling Lamella</v>
          </cell>
          <cell r="D238" t="str">
            <v>Cellar ceiling lamellas and slabs</v>
          </cell>
          <cell r="E238">
            <v>63.36</v>
          </cell>
          <cell r="F238">
            <v>3.17</v>
          </cell>
          <cell r="G238" t="str">
            <v>m2</v>
          </cell>
          <cell r="H238">
            <v>4</v>
          </cell>
          <cell r="I238" t="str">
            <v>50 200X1200 PL/264</v>
          </cell>
          <cell r="J238" t="str">
            <v>PL/264</v>
          </cell>
          <cell r="K238" t="str">
            <v>HD</v>
          </cell>
          <cell r="L238">
            <v>50</v>
          </cell>
          <cell r="M238">
            <v>200</v>
          </cell>
          <cell r="N238">
            <v>1200</v>
          </cell>
          <cell r="O238">
            <v>264</v>
          </cell>
          <cell r="Q238">
            <v>202.88</v>
          </cell>
        </row>
        <row r="239">
          <cell r="A239">
            <v>8569652</v>
          </cell>
          <cell r="B239" t="str">
            <v>Linio 15 190 600X1200 PL/18 2</v>
          </cell>
          <cell r="C239" t="str">
            <v>PAROC Linio 15 Rendered Facade Slab</v>
          </cell>
          <cell r="D239" t="str">
            <v>Rendered facades</v>
          </cell>
          <cell r="E239">
            <v>25.92</v>
          </cell>
          <cell r="F239">
            <v>4.92</v>
          </cell>
          <cell r="G239" t="str">
            <v>m2</v>
          </cell>
          <cell r="H239">
            <v>4</v>
          </cell>
          <cell r="I239" t="str">
            <v>190 600X1200 PL/18 2</v>
          </cell>
          <cell r="J239" t="str">
            <v>PL/18 2</v>
          </cell>
          <cell r="K239" t="str">
            <v>HD</v>
          </cell>
          <cell r="L239">
            <v>190</v>
          </cell>
          <cell r="M239">
            <v>600</v>
          </cell>
          <cell r="N239">
            <v>1200</v>
          </cell>
          <cell r="O239">
            <v>18</v>
          </cell>
          <cell r="P239">
            <v>2</v>
          </cell>
          <cell r="Q239">
            <v>428.04</v>
          </cell>
        </row>
        <row r="240">
          <cell r="A240">
            <v>8556044</v>
          </cell>
          <cell r="B240" t="str">
            <v>Linio 80 220 200X1200 PL/60</v>
          </cell>
          <cell r="C240" t="str">
            <v>PAROC Linio 80 Facade Lamella</v>
          </cell>
          <cell r="D240" t="str">
            <v>Rendered facades</v>
          </cell>
          <cell r="E240">
            <v>14.4</v>
          </cell>
          <cell r="F240">
            <v>3.17</v>
          </cell>
          <cell r="G240" t="str">
            <v>m2</v>
          </cell>
          <cell r="H240">
            <v>4</v>
          </cell>
          <cell r="I240" t="str">
            <v>220 200X1200 PL/60</v>
          </cell>
          <cell r="J240" t="str">
            <v>PL/60</v>
          </cell>
          <cell r="K240" t="str">
            <v>HD</v>
          </cell>
          <cell r="L240">
            <v>220</v>
          </cell>
          <cell r="M240">
            <v>200</v>
          </cell>
          <cell r="N240">
            <v>1200</v>
          </cell>
          <cell r="O240">
            <v>60</v>
          </cell>
          <cell r="Q240">
            <v>247.26</v>
          </cell>
        </row>
        <row r="241">
          <cell r="A241">
            <v>8500834</v>
          </cell>
          <cell r="B241" t="str">
            <v>ROS 40 120 1200X1800 PL/18</v>
          </cell>
          <cell r="C241" t="str">
            <v>PAROC ROS 40 Roof Slab</v>
          </cell>
          <cell r="D241" t="str">
            <v>Roof - Slabs and boards</v>
          </cell>
          <cell r="E241">
            <v>38.880000000000003</v>
          </cell>
          <cell r="F241">
            <v>4.67</v>
          </cell>
          <cell r="G241" t="str">
            <v>m2</v>
          </cell>
          <cell r="H241">
            <v>4</v>
          </cell>
          <cell r="I241" t="str">
            <v>120 1200X1800 PL/18</v>
          </cell>
          <cell r="J241" t="str">
            <v>PL/18</v>
          </cell>
          <cell r="K241" t="str">
            <v>HD</v>
          </cell>
          <cell r="L241">
            <v>120</v>
          </cell>
          <cell r="M241">
            <v>1200</v>
          </cell>
          <cell r="N241">
            <v>1800</v>
          </cell>
          <cell r="O241">
            <v>18</v>
          </cell>
          <cell r="Q241">
            <v>448.32</v>
          </cell>
        </row>
        <row r="242">
          <cell r="A242">
            <v>8508895</v>
          </cell>
          <cell r="B242" t="str">
            <v>FPS 14 30 600X1200 PL/30 7</v>
          </cell>
          <cell r="C242" t="str">
            <v>PAROC FPS 14 Fire Protection Slab</v>
          </cell>
          <cell r="D242" t="str">
            <v>Fire protection</v>
          </cell>
          <cell r="E242">
            <v>151.19999999999999</v>
          </cell>
          <cell r="F242">
            <v>4.54</v>
          </cell>
          <cell r="G242" t="str">
            <v>m2</v>
          </cell>
          <cell r="H242">
            <v>4</v>
          </cell>
          <cell r="I242" t="str">
            <v>30 600X1200 PL/30 7</v>
          </cell>
          <cell r="J242" t="str">
            <v>PL/30 7</v>
          </cell>
          <cell r="K242" t="str">
            <v>HD</v>
          </cell>
          <cell r="L242">
            <v>30</v>
          </cell>
          <cell r="M242">
            <v>600</v>
          </cell>
          <cell r="N242">
            <v>1200</v>
          </cell>
          <cell r="O242">
            <v>30</v>
          </cell>
          <cell r="P242">
            <v>7</v>
          </cell>
          <cell r="Q242">
            <v>617.44000000000005</v>
          </cell>
        </row>
        <row r="243">
          <cell r="A243">
            <v>8508896</v>
          </cell>
          <cell r="B243" t="str">
            <v>FPS 14 50 600X1200 PL/33 4</v>
          </cell>
          <cell r="C243" t="str">
            <v>PAROC FPS 14 Fire Protection Slab</v>
          </cell>
          <cell r="D243" t="str">
            <v>Fire protection</v>
          </cell>
          <cell r="E243">
            <v>95.04</v>
          </cell>
          <cell r="F243">
            <v>4.75</v>
          </cell>
          <cell r="G243" t="str">
            <v>m2</v>
          </cell>
          <cell r="H243">
            <v>4</v>
          </cell>
          <cell r="I243" t="str">
            <v>50 600X1200 PL/33 4</v>
          </cell>
          <cell r="J243" t="str">
            <v>PL/33 4</v>
          </cell>
          <cell r="K243" t="str">
            <v>HD</v>
          </cell>
          <cell r="L243">
            <v>50</v>
          </cell>
          <cell r="M243">
            <v>600</v>
          </cell>
          <cell r="N243">
            <v>1200</v>
          </cell>
          <cell r="O243">
            <v>33</v>
          </cell>
          <cell r="P243">
            <v>4</v>
          </cell>
          <cell r="Q243">
            <v>646</v>
          </cell>
        </row>
        <row r="244">
          <cell r="A244">
            <v>8530007</v>
          </cell>
          <cell r="B244" t="str">
            <v>ROS 30 40 1200X1800 PL/56</v>
          </cell>
          <cell r="C244" t="str">
            <v>PAROC ROS 30 Roof Slab</v>
          </cell>
          <cell r="D244" t="str">
            <v>Roof - Slabs and boards</v>
          </cell>
          <cell r="E244">
            <v>120.96</v>
          </cell>
          <cell r="F244">
            <v>4.84</v>
          </cell>
          <cell r="G244" t="str">
            <v>m2</v>
          </cell>
          <cell r="H244">
            <v>4</v>
          </cell>
          <cell r="I244" t="str">
            <v>40 1200X1800 PL/56</v>
          </cell>
          <cell r="J244" t="str">
            <v>PL/56</v>
          </cell>
          <cell r="K244" t="str">
            <v>HD</v>
          </cell>
          <cell r="L244">
            <v>40</v>
          </cell>
          <cell r="M244">
            <v>1200</v>
          </cell>
          <cell r="N244">
            <v>1800</v>
          </cell>
          <cell r="O244">
            <v>56</v>
          </cell>
          <cell r="Q244">
            <v>411.4</v>
          </cell>
        </row>
        <row r="245">
          <cell r="A245">
            <v>8535610</v>
          </cell>
          <cell r="B245" t="str">
            <v>FPS 17 50 600X1200 PL/33 4</v>
          </cell>
          <cell r="C245" t="str">
            <v>PAROC FPS 17 Fire Protection Slab</v>
          </cell>
          <cell r="D245" t="str">
            <v>Fire protection</v>
          </cell>
          <cell r="E245">
            <v>95.04</v>
          </cell>
          <cell r="F245">
            <v>4.75</v>
          </cell>
          <cell r="G245" t="str">
            <v>m2</v>
          </cell>
          <cell r="H245">
            <v>4</v>
          </cell>
          <cell r="I245" t="str">
            <v>50 600X1200 PL/33 4</v>
          </cell>
          <cell r="J245" t="str">
            <v>PL/33 4</v>
          </cell>
          <cell r="K245" t="str">
            <v>HD</v>
          </cell>
          <cell r="L245">
            <v>50</v>
          </cell>
          <cell r="M245">
            <v>600</v>
          </cell>
          <cell r="N245">
            <v>1200</v>
          </cell>
          <cell r="O245">
            <v>33</v>
          </cell>
          <cell r="P245">
            <v>4</v>
          </cell>
          <cell r="Q245">
            <v>807.5</v>
          </cell>
        </row>
        <row r="246">
          <cell r="A246">
            <v>8548866</v>
          </cell>
          <cell r="B246" t="str">
            <v>Linio 15 130 600X1200 PL/27 2</v>
          </cell>
          <cell r="C246" t="str">
            <v>PAROC Linio 15 Rendered Facade Slab</v>
          </cell>
          <cell r="D246" t="str">
            <v>Rendered facades</v>
          </cell>
          <cell r="E246">
            <v>38.880000000000003</v>
          </cell>
          <cell r="F246">
            <v>5.05</v>
          </cell>
          <cell r="G246" t="str">
            <v>m2</v>
          </cell>
          <cell r="H246">
            <v>4</v>
          </cell>
          <cell r="I246" t="str">
            <v>130 600X1200 PL/27 2</v>
          </cell>
          <cell r="J246" t="str">
            <v>PL/27 2</v>
          </cell>
          <cell r="K246" t="str">
            <v>HD</v>
          </cell>
          <cell r="L246">
            <v>130</v>
          </cell>
          <cell r="M246">
            <v>600</v>
          </cell>
          <cell r="N246">
            <v>1200</v>
          </cell>
          <cell r="O246">
            <v>27</v>
          </cell>
          <cell r="P246">
            <v>2</v>
          </cell>
          <cell r="Q246">
            <v>439.34999999999997</v>
          </cell>
        </row>
        <row r="247">
          <cell r="A247">
            <v>8527660</v>
          </cell>
          <cell r="B247" t="str">
            <v>WAS 35 120 600X1200 PL/18 3</v>
          </cell>
          <cell r="C247" t="str">
            <v>PAROC WAS 35 Wall Slab</v>
          </cell>
          <cell r="D247" t="str">
            <v>Wall slabs &amp; boards</v>
          </cell>
          <cell r="E247">
            <v>38.880000000000003</v>
          </cell>
          <cell r="F247">
            <v>4.67</v>
          </cell>
          <cell r="G247" t="str">
            <v>m2</v>
          </cell>
          <cell r="H247">
            <v>4</v>
          </cell>
          <cell r="I247" t="str">
            <v>120 600X1200 PL/18 3</v>
          </cell>
          <cell r="J247" t="str">
            <v>PL/18 3</v>
          </cell>
          <cell r="K247" t="str">
            <v>HD</v>
          </cell>
          <cell r="L247">
            <v>120</v>
          </cell>
          <cell r="M247">
            <v>600</v>
          </cell>
          <cell r="N247">
            <v>1200</v>
          </cell>
          <cell r="O247">
            <v>18</v>
          </cell>
          <cell r="P247">
            <v>3</v>
          </cell>
          <cell r="Q247">
            <v>326.89999999999998</v>
          </cell>
        </row>
        <row r="248">
          <cell r="A248">
            <v>8551157</v>
          </cell>
          <cell r="B248" t="str">
            <v>Linio 20 120 600X1200 PL/30 2</v>
          </cell>
          <cell r="C248" t="str">
            <v>PAROC Linio 20 Rendered Facade Slab</v>
          </cell>
          <cell r="D248" t="str">
            <v>Rendered facades</v>
          </cell>
          <cell r="E248">
            <v>43.2</v>
          </cell>
          <cell r="F248">
            <v>5.18</v>
          </cell>
          <cell r="G248" t="str">
            <v>m2</v>
          </cell>
          <cell r="H248">
            <v>4</v>
          </cell>
          <cell r="I248" t="str">
            <v>120 600X1200 PL/30 2</v>
          </cell>
          <cell r="J248" t="str">
            <v>PL/30 2</v>
          </cell>
          <cell r="K248" t="str">
            <v>HD</v>
          </cell>
          <cell r="L248">
            <v>120</v>
          </cell>
          <cell r="M248">
            <v>600</v>
          </cell>
          <cell r="N248">
            <v>1200</v>
          </cell>
          <cell r="O248">
            <v>30</v>
          </cell>
          <cell r="P248">
            <v>2</v>
          </cell>
          <cell r="Q248">
            <v>569.79999999999995</v>
          </cell>
        </row>
        <row r="249">
          <cell r="A249">
            <v>8548882</v>
          </cell>
          <cell r="B249" t="str">
            <v>Linio 15 70 600X1200 PL/33 3</v>
          </cell>
          <cell r="C249" t="str">
            <v>PAROC Linio 15 Rendered Facade Slab</v>
          </cell>
          <cell r="D249" t="str">
            <v>Rendered facades</v>
          </cell>
          <cell r="E249">
            <v>71.28</v>
          </cell>
          <cell r="F249">
            <v>4.99</v>
          </cell>
          <cell r="G249" t="str">
            <v>m2</v>
          </cell>
          <cell r="H249">
            <v>4</v>
          </cell>
          <cell r="I249" t="str">
            <v>70 600X1200 PL/33 3</v>
          </cell>
          <cell r="J249" t="str">
            <v>PL/33 3</v>
          </cell>
          <cell r="K249" t="str">
            <v>HD</v>
          </cell>
          <cell r="L249">
            <v>70</v>
          </cell>
          <cell r="M249">
            <v>600</v>
          </cell>
          <cell r="N249">
            <v>1200</v>
          </cell>
          <cell r="O249">
            <v>33</v>
          </cell>
          <cell r="P249">
            <v>3</v>
          </cell>
          <cell r="Q249">
            <v>434.13</v>
          </cell>
        </row>
        <row r="250">
          <cell r="A250">
            <v>8553500</v>
          </cell>
          <cell r="B250" t="str">
            <v>eXtra 60 600X1200 BP/24 12</v>
          </cell>
          <cell r="C250" t="str">
            <v>PAROC eXtra Flexible Slab</v>
          </cell>
          <cell r="D250" t="str">
            <v>Flexible slabs &amp; mats</v>
          </cell>
          <cell r="E250">
            <v>207.36</v>
          </cell>
          <cell r="F250">
            <v>12.44</v>
          </cell>
          <cell r="G250" t="str">
            <v>m2</v>
          </cell>
          <cell r="H250">
            <v>4</v>
          </cell>
          <cell r="I250" t="str">
            <v>60 600X1200 BP/24 12</v>
          </cell>
          <cell r="J250" t="str">
            <v>BP/24 12</v>
          </cell>
          <cell r="K250" t="str">
            <v>EXL</v>
          </cell>
          <cell r="L250">
            <v>60</v>
          </cell>
          <cell r="M250">
            <v>600</v>
          </cell>
          <cell r="N250">
            <v>1200</v>
          </cell>
          <cell r="O250">
            <v>24</v>
          </cell>
          <cell r="P250">
            <v>12</v>
          </cell>
          <cell r="Q250">
            <v>348.32</v>
          </cell>
        </row>
        <row r="251">
          <cell r="A251">
            <v>8548862</v>
          </cell>
          <cell r="B251" t="str">
            <v>Linio 15 110 600X1200 PL/30 2</v>
          </cell>
          <cell r="C251" t="str">
            <v>PAROC Linio 15 Rendered Facade Slab</v>
          </cell>
          <cell r="D251" t="str">
            <v>Rendered facades</v>
          </cell>
          <cell r="E251">
            <v>43.2</v>
          </cell>
          <cell r="F251">
            <v>4.75</v>
          </cell>
          <cell r="G251" t="str">
            <v>m2</v>
          </cell>
          <cell r="H251">
            <v>4</v>
          </cell>
          <cell r="I251" t="str">
            <v>110 600X1200 PL/30 2</v>
          </cell>
          <cell r="J251" t="str">
            <v>PL/30 2</v>
          </cell>
          <cell r="K251" t="str">
            <v>HD</v>
          </cell>
          <cell r="L251">
            <v>110</v>
          </cell>
          <cell r="M251">
            <v>600</v>
          </cell>
          <cell r="N251">
            <v>1200</v>
          </cell>
          <cell r="O251">
            <v>30</v>
          </cell>
          <cell r="P251">
            <v>2</v>
          </cell>
          <cell r="Q251">
            <v>413.25</v>
          </cell>
        </row>
        <row r="252">
          <cell r="A252">
            <v>8548769</v>
          </cell>
          <cell r="B252" t="str">
            <v>Linio 10 170 600X1200 PL/21 2</v>
          </cell>
          <cell r="C252" t="str">
            <v>PAROC Linio 10 Rendered Facade Slab</v>
          </cell>
          <cell r="D252" t="str">
            <v>Rendered facades</v>
          </cell>
          <cell r="E252">
            <v>30.24</v>
          </cell>
          <cell r="F252">
            <v>5.14</v>
          </cell>
          <cell r="G252" t="str">
            <v>m2</v>
          </cell>
          <cell r="H252">
            <v>4</v>
          </cell>
          <cell r="I252" t="str">
            <v>170 600X1200 PL/21 2</v>
          </cell>
          <cell r="J252" t="str">
            <v>PL/21 2</v>
          </cell>
          <cell r="K252" t="str">
            <v>HD</v>
          </cell>
          <cell r="L252">
            <v>170</v>
          </cell>
          <cell r="M252">
            <v>600</v>
          </cell>
          <cell r="N252">
            <v>1200</v>
          </cell>
          <cell r="O252">
            <v>21</v>
          </cell>
          <cell r="P252">
            <v>2</v>
          </cell>
          <cell r="Q252">
            <v>395.78</v>
          </cell>
        </row>
        <row r="253">
          <cell r="A253">
            <v>8548771</v>
          </cell>
          <cell r="B253" t="str">
            <v>Linio 10 180 600X1200 PL/18 2</v>
          </cell>
          <cell r="C253" t="str">
            <v>PAROC Linio 10 Rendered Facade Slab</v>
          </cell>
          <cell r="D253" t="str">
            <v>Rendered facades</v>
          </cell>
          <cell r="E253">
            <v>25.92</v>
          </cell>
          <cell r="F253">
            <v>4.67</v>
          </cell>
          <cell r="G253" t="str">
            <v>m2</v>
          </cell>
          <cell r="H253">
            <v>4</v>
          </cell>
          <cell r="I253" t="str">
            <v>180 600X1200 PL/18 2</v>
          </cell>
          <cell r="J253" t="str">
            <v>PL/18 2</v>
          </cell>
          <cell r="K253" t="str">
            <v>HD</v>
          </cell>
          <cell r="L253">
            <v>180</v>
          </cell>
          <cell r="M253">
            <v>600</v>
          </cell>
          <cell r="N253">
            <v>1200</v>
          </cell>
          <cell r="O253">
            <v>18</v>
          </cell>
          <cell r="P253">
            <v>2</v>
          </cell>
          <cell r="Q253">
            <v>359.59</v>
          </cell>
        </row>
        <row r="254">
          <cell r="A254">
            <v>8560327</v>
          </cell>
          <cell r="B254" t="str">
            <v>Linio 18 130 600X1200 PL/27 2</v>
          </cell>
          <cell r="C254" t="str">
            <v>PAROC Linio 18 Rendered Facade Slab</v>
          </cell>
          <cell r="D254" t="str">
            <v>Rendered facades</v>
          </cell>
          <cell r="E254">
            <v>38.880000000000003</v>
          </cell>
          <cell r="F254">
            <v>5.05</v>
          </cell>
          <cell r="G254" t="str">
            <v>m2</v>
          </cell>
          <cell r="H254">
            <v>4</v>
          </cell>
          <cell r="I254" t="str">
            <v>130 600X1200 PL/27 2</v>
          </cell>
          <cell r="J254" t="str">
            <v>PL/27 2</v>
          </cell>
          <cell r="K254" t="str">
            <v>HD</v>
          </cell>
          <cell r="L254">
            <v>130</v>
          </cell>
          <cell r="M254">
            <v>600</v>
          </cell>
          <cell r="N254">
            <v>1200</v>
          </cell>
          <cell r="O254">
            <v>27</v>
          </cell>
          <cell r="P254">
            <v>2</v>
          </cell>
          <cell r="Q254">
            <v>469.65</v>
          </cell>
        </row>
        <row r="255">
          <cell r="A255">
            <v>8560338</v>
          </cell>
          <cell r="B255" t="str">
            <v>Linio 18 30 600X1200 PL/33 7</v>
          </cell>
          <cell r="C255" t="str">
            <v>PAROC Linio 18 Rendered Facade Slab</v>
          </cell>
          <cell r="D255" t="str">
            <v>Rendered facades</v>
          </cell>
          <cell r="E255">
            <v>166.32</v>
          </cell>
          <cell r="F255">
            <v>4.99</v>
          </cell>
          <cell r="G255" t="str">
            <v>m2</v>
          </cell>
          <cell r="H255">
            <v>4</v>
          </cell>
          <cell r="I255" t="str">
            <v>30 600X1200 PL/33 7</v>
          </cell>
          <cell r="J255" t="str">
            <v>PL/33 7</v>
          </cell>
          <cell r="K255" t="str">
            <v>HD</v>
          </cell>
          <cell r="L255">
            <v>30</v>
          </cell>
          <cell r="M255">
            <v>600</v>
          </cell>
          <cell r="N255">
            <v>1200</v>
          </cell>
          <cell r="O255">
            <v>33</v>
          </cell>
          <cell r="P255">
            <v>7</v>
          </cell>
          <cell r="Q255">
            <v>464.07</v>
          </cell>
        </row>
        <row r="256">
          <cell r="A256">
            <v>8560341</v>
          </cell>
          <cell r="B256" t="str">
            <v>Linio 18 60 600X1200 PL/30 4</v>
          </cell>
          <cell r="C256" t="str">
            <v>PAROC Linio 18 Rendered Facade Slab</v>
          </cell>
          <cell r="D256" t="str">
            <v>Rendered facades</v>
          </cell>
          <cell r="E256">
            <v>86.4</v>
          </cell>
          <cell r="F256">
            <v>5.18</v>
          </cell>
          <cell r="G256" t="str">
            <v>m2</v>
          </cell>
          <cell r="H256">
            <v>4</v>
          </cell>
          <cell r="I256" t="str">
            <v>60 600X1200 PL/30 4</v>
          </cell>
          <cell r="J256" t="str">
            <v>PL/30 4</v>
          </cell>
          <cell r="K256" t="str">
            <v>HD</v>
          </cell>
          <cell r="L256">
            <v>60</v>
          </cell>
          <cell r="M256">
            <v>600</v>
          </cell>
          <cell r="N256">
            <v>1200</v>
          </cell>
          <cell r="O256">
            <v>30</v>
          </cell>
          <cell r="P256">
            <v>4</v>
          </cell>
          <cell r="Q256">
            <v>481.73999999999995</v>
          </cell>
        </row>
        <row r="257">
          <cell r="A257">
            <v>8560349</v>
          </cell>
          <cell r="B257" t="str">
            <v>Linio 18 110 600X1200 PL/30 2</v>
          </cell>
          <cell r="C257" t="str">
            <v>PAROC Linio 18 Rendered Facade Slab</v>
          </cell>
          <cell r="D257" t="str">
            <v>Rendered facades</v>
          </cell>
          <cell r="E257">
            <v>43.2</v>
          </cell>
          <cell r="F257">
            <v>4.75</v>
          </cell>
          <cell r="G257" t="str">
            <v>m2</v>
          </cell>
          <cell r="H257">
            <v>4</v>
          </cell>
          <cell r="I257" t="str">
            <v>110 600X1200 PL/30 2</v>
          </cell>
          <cell r="J257" t="str">
            <v>PL/30 2</v>
          </cell>
          <cell r="K257" t="str">
            <v>HD</v>
          </cell>
          <cell r="L257">
            <v>110</v>
          </cell>
          <cell r="M257">
            <v>600</v>
          </cell>
          <cell r="N257">
            <v>1200</v>
          </cell>
          <cell r="O257">
            <v>30</v>
          </cell>
          <cell r="P257">
            <v>2</v>
          </cell>
          <cell r="Q257">
            <v>441.75</v>
          </cell>
        </row>
        <row r="258">
          <cell r="A258">
            <v>8561516</v>
          </cell>
          <cell r="B258" t="str">
            <v>WAS 120 200 600X1200 BP/24 4</v>
          </cell>
          <cell r="C258" t="str">
            <v>PAROC WAS 120 Wall Slab</v>
          </cell>
          <cell r="D258" t="str">
            <v>Wall slabs &amp; boards</v>
          </cell>
          <cell r="E258">
            <v>69.12</v>
          </cell>
          <cell r="F258">
            <v>13.82</v>
          </cell>
          <cell r="G258" t="str">
            <v>m2</v>
          </cell>
          <cell r="H258">
            <v>4</v>
          </cell>
          <cell r="I258" t="str">
            <v>200 600X1200 BP/24 4</v>
          </cell>
          <cell r="J258" t="str">
            <v>BP/24 4</v>
          </cell>
          <cell r="K258" t="str">
            <v>EXL</v>
          </cell>
          <cell r="L258">
            <v>200</v>
          </cell>
          <cell r="M258">
            <v>600</v>
          </cell>
          <cell r="N258">
            <v>1200</v>
          </cell>
          <cell r="O258">
            <v>24</v>
          </cell>
          <cell r="P258">
            <v>4</v>
          </cell>
          <cell r="Q258">
            <v>414.6</v>
          </cell>
        </row>
        <row r="259">
          <cell r="A259">
            <v>8564299</v>
          </cell>
          <cell r="B259" t="str">
            <v>WAS 50tb 50 1200X1200 PL/45</v>
          </cell>
          <cell r="C259" t="str">
            <v>PAROC WAS 50tb Wall Slab</v>
          </cell>
          <cell r="D259" t="str">
            <v>Wall slabs &amp; boards</v>
          </cell>
          <cell r="E259">
            <v>64.8</v>
          </cell>
          <cell r="F259">
            <v>3.24</v>
          </cell>
          <cell r="G259" t="str">
            <v>m2</v>
          </cell>
          <cell r="H259">
            <v>4</v>
          </cell>
          <cell r="I259" t="str">
            <v>50 1200X1200 PL/45</v>
          </cell>
          <cell r="J259" t="str">
            <v>PL/45</v>
          </cell>
          <cell r="K259" t="str">
            <v>HD</v>
          </cell>
          <cell r="L259">
            <v>50</v>
          </cell>
          <cell r="M259">
            <v>1200</v>
          </cell>
          <cell r="N259">
            <v>1200</v>
          </cell>
          <cell r="O259">
            <v>45</v>
          </cell>
          <cell r="Q259">
            <v>145.80000000000001</v>
          </cell>
        </row>
        <row r="260">
          <cell r="A260">
            <v>8564621</v>
          </cell>
          <cell r="B260" t="str">
            <v>Linio 18 180 600X1200 PL/18 2</v>
          </cell>
          <cell r="C260" t="str">
            <v>PAROC Linio 18 Rendered Facade Slab</v>
          </cell>
          <cell r="D260" t="str">
            <v>Rendered facades</v>
          </cell>
          <cell r="E260">
            <v>25.92</v>
          </cell>
          <cell r="F260">
            <v>4.67</v>
          </cell>
          <cell r="G260" t="str">
            <v>m2</v>
          </cell>
          <cell r="H260">
            <v>4</v>
          </cell>
          <cell r="I260" t="str">
            <v>180 600X1200 PL/18 2</v>
          </cell>
          <cell r="J260" t="str">
            <v>PL/18 2</v>
          </cell>
          <cell r="K260" t="str">
            <v>HD</v>
          </cell>
          <cell r="L260">
            <v>180</v>
          </cell>
          <cell r="M260">
            <v>600</v>
          </cell>
          <cell r="N260">
            <v>1200</v>
          </cell>
          <cell r="O260">
            <v>18</v>
          </cell>
          <cell r="P260">
            <v>2</v>
          </cell>
          <cell r="Q260">
            <v>434.31</v>
          </cell>
        </row>
        <row r="261">
          <cell r="A261">
            <v>8553332</v>
          </cell>
          <cell r="B261" t="str">
            <v>ROS 30 140 600X1200 PL/24 2</v>
          </cell>
          <cell r="C261" t="str">
            <v>PAROC ROS 30 Roof Slab</v>
          </cell>
          <cell r="D261" t="str">
            <v>Roof - Slabs and boards</v>
          </cell>
          <cell r="E261">
            <v>34.56</v>
          </cell>
          <cell r="F261">
            <v>4.84</v>
          </cell>
          <cell r="G261" t="str">
            <v>m2</v>
          </cell>
          <cell r="H261">
            <v>4</v>
          </cell>
          <cell r="I261" t="str">
            <v>140 600X1200 PL/24 2</v>
          </cell>
          <cell r="J261" t="str">
            <v>PL/24 2</v>
          </cell>
          <cell r="K261" t="str">
            <v>HD</v>
          </cell>
          <cell r="L261">
            <v>140</v>
          </cell>
          <cell r="M261">
            <v>600</v>
          </cell>
          <cell r="N261">
            <v>1200</v>
          </cell>
          <cell r="O261">
            <v>24</v>
          </cell>
          <cell r="P261">
            <v>2</v>
          </cell>
          <cell r="Q261">
            <v>411.4</v>
          </cell>
        </row>
        <row r="262">
          <cell r="A262">
            <v>8565601</v>
          </cell>
          <cell r="B262" t="str">
            <v>Linio 15 220 600X1200 PL/15 2</v>
          </cell>
          <cell r="C262" t="str">
            <v>PAROC Linio 15 Rendered Facade Slab</v>
          </cell>
          <cell r="D262" t="str">
            <v>Rendered facades</v>
          </cell>
          <cell r="E262">
            <v>21.6</v>
          </cell>
          <cell r="F262">
            <v>4.75</v>
          </cell>
          <cell r="G262" t="str">
            <v>m2</v>
          </cell>
          <cell r="H262">
            <v>4</v>
          </cell>
          <cell r="I262" t="str">
            <v>220 600X1200 PL/15 2</v>
          </cell>
          <cell r="J262" t="str">
            <v>PL/15 2</v>
          </cell>
          <cell r="K262" t="str">
            <v>HD</v>
          </cell>
          <cell r="L262">
            <v>220</v>
          </cell>
          <cell r="M262">
            <v>600</v>
          </cell>
          <cell r="N262">
            <v>1200</v>
          </cell>
          <cell r="O262">
            <v>15</v>
          </cell>
          <cell r="P262">
            <v>2</v>
          </cell>
          <cell r="Q262">
            <v>413.25</v>
          </cell>
        </row>
        <row r="263">
          <cell r="A263">
            <v>8542493</v>
          </cell>
          <cell r="B263" t="str">
            <v>WAS 50 140 600X1200 BP/16 4</v>
          </cell>
          <cell r="C263" t="str">
            <v>PAROC WAS 50 Wall Slab</v>
          </cell>
          <cell r="D263" t="str">
            <v>Wall slabs &amp; boards</v>
          </cell>
          <cell r="E263">
            <v>46.08</v>
          </cell>
          <cell r="F263">
            <v>6.45</v>
          </cell>
          <cell r="G263" t="str">
            <v>m2</v>
          </cell>
          <cell r="H263">
            <v>4</v>
          </cell>
          <cell r="I263" t="str">
            <v>140 600X1200 BP/16 4</v>
          </cell>
          <cell r="J263" t="str">
            <v>BP/16 4</v>
          </cell>
          <cell r="K263" t="str">
            <v>HD</v>
          </cell>
          <cell r="L263">
            <v>140</v>
          </cell>
          <cell r="M263">
            <v>600</v>
          </cell>
          <cell r="N263">
            <v>1200</v>
          </cell>
          <cell r="O263">
            <v>16</v>
          </cell>
          <cell r="P263">
            <v>4</v>
          </cell>
          <cell r="Q263">
            <v>290.25</v>
          </cell>
        </row>
        <row r="264">
          <cell r="A264">
            <v>8567616</v>
          </cell>
          <cell r="B264" t="str">
            <v>InWall 40 600X1200 BP/16 12</v>
          </cell>
          <cell r="C264" t="str">
            <v>PAROC InWall Wall Slab</v>
          </cell>
          <cell r="D264" t="str">
            <v>Wall slabs &amp; boards</v>
          </cell>
          <cell r="E264">
            <v>138.24</v>
          </cell>
          <cell r="F264">
            <v>5.53</v>
          </cell>
          <cell r="G264" t="str">
            <v>m2</v>
          </cell>
          <cell r="H264">
            <v>4</v>
          </cell>
          <cell r="I264" t="str">
            <v>40 600X1200 BP/16 12</v>
          </cell>
          <cell r="J264" t="str">
            <v>BP/16 12</v>
          </cell>
          <cell r="K264" t="str">
            <v>MD</v>
          </cell>
          <cell r="L264">
            <v>40</v>
          </cell>
          <cell r="M264">
            <v>600</v>
          </cell>
          <cell r="N264">
            <v>1200</v>
          </cell>
          <cell r="O264">
            <v>16</v>
          </cell>
          <cell r="P264">
            <v>12</v>
          </cell>
          <cell r="Q264">
            <v>210.14000000000001</v>
          </cell>
        </row>
        <row r="265">
          <cell r="A265">
            <v>8569453</v>
          </cell>
          <cell r="B265" t="str">
            <v>ROL 40 130 200X1480 PL/96</v>
          </cell>
          <cell r="C265" t="str">
            <v>PAROC ROL 40 Roof Lamella</v>
          </cell>
          <cell r="D265" t="str">
            <v>Roof - Combination pallets</v>
          </cell>
          <cell r="E265">
            <v>28.41</v>
          </cell>
          <cell r="F265">
            <v>3.69</v>
          </cell>
          <cell r="G265" t="str">
            <v>m2</v>
          </cell>
          <cell r="H265">
            <v>4</v>
          </cell>
          <cell r="I265" t="str">
            <v>130 200X1480 PL/96</v>
          </cell>
          <cell r="J265" t="str">
            <v>PL/96</v>
          </cell>
          <cell r="K265" t="str">
            <v>HD</v>
          </cell>
          <cell r="L265">
            <v>130</v>
          </cell>
          <cell r="M265">
            <v>200</v>
          </cell>
          <cell r="N265">
            <v>1480</v>
          </cell>
          <cell r="O265">
            <v>96</v>
          </cell>
          <cell r="Q265">
            <v>269.37</v>
          </cell>
        </row>
        <row r="266">
          <cell r="A266">
            <v>8569459</v>
          </cell>
          <cell r="B266" t="str">
            <v>Linio 80 100 200X1480 PL/132</v>
          </cell>
          <cell r="C266" t="str">
            <v>PAROC Linio 80 Facade Lamella</v>
          </cell>
          <cell r="D266" t="str">
            <v>Rendered facades</v>
          </cell>
          <cell r="E266">
            <v>39.07</v>
          </cell>
          <cell r="F266">
            <v>3.91</v>
          </cell>
          <cell r="G266" t="str">
            <v>m2</v>
          </cell>
          <cell r="H266">
            <v>4</v>
          </cell>
          <cell r="I266" t="str">
            <v>100 200X1480 PL/132</v>
          </cell>
          <cell r="J266" t="str">
            <v>PL/132</v>
          </cell>
          <cell r="K266" t="str">
            <v>HD</v>
          </cell>
          <cell r="L266">
            <v>100</v>
          </cell>
          <cell r="M266">
            <v>200</v>
          </cell>
          <cell r="N266">
            <v>1480</v>
          </cell>
          <cell r="O266">
            <v>132</v>
          </cell>
          <cell r="Q266">
            <v>304.98</v>
          </cell>
        </row>
        <row r="267">
          <cell r="A267">
            <v>8569463</v>
          </cell>
          <cell r="B267" t="str">
            <v>Linio 80 150 200X1480 PL/84</v>
          </cell>
          <cell r="C267" t="str">
            <v>PAROC Linio 80 Facade Lamella</v>
          </cell>
          <cell r="D267" t="str">
            <v>Rendered facades</v>
          </cell>
          <cell r="E267">
            <v>24.86</v>
          </cell>
          <cell r="F267">
            <v>3.73</v>
          </cell>
          <cell r="G267" t="str">
            <v>m2</v>
          </cell>
          <cell r="H267">
            <v>4</v>
          </cell>
          <cell r="I267" t="str">
            <v>150 200X1480 PL/84</v>
          </cell>
          <cell r="J267" t="str">
            <v>PL/84</v>
          </cell>
          <cell r="K267" t="str">
            <v>HD</v>
          </cell>
          <cell r="L267">
            <v>150</v>
          </cell>
          <cell r="M267">
            <v>200</v>
          </cell>
          <cell r="N267">
            <v>1480</v>
          </cell>
          <cell r="O267">
            <v>84</v>
          </cell>
          <cell r="Q267">
            <v>290.94</v>
          </cell>
        </row>
        <row r="268">
          <cell r="A268">
            <v>8570965</v>
          </cell>
          <cell r="B268" t="str">
            <v>Fatio 140 600X1200 PL/24 2</v>
          </cell>
          <cell r="C268" t="str">
            <v>PAROC Fatio Rendered Facade Slab</v>
          </cell>
          <cell r="D268" t="str">
            <v>Rendered facades</v>
          </cell>
          <cell r="E268">
            <v>34.56</v>
          </cell>
          <cell r="F268">
            <v>4.84</v>
          </cell>
          <cell r="G268" t="str">
            <v>m2</v>
          </cell>
          <cell r="H268">
            <v>4</v>
          </cell>
          <cell r="I268" t="str">
            <v>140 600X1200 PL/24 2</v>
          </cell>
          <cell r="J268" t="str">
            <v>PL/24 2</v>
          </cell>
          <cell r="K268" t="str">
            <v>HD</v>
          </cell>
          <cell r="L268">
            <v>140</v>
          </cell>
          <cell r="M268">
            <v>600</v>
          </cell>
          <cell r="N268">
            <v>1200</v>
          </cell>
          <cell r="O268">
            <v>24</v>
          </cell>
          <cell r="P268">
            <v>2</v>
          </cell>
          <cell r="Q268">
            <v>338.8</v>
          </cell>
        </row>
        <row r="269">
          <cell r="A269">
            <v>8500912</v>
          </cell>
          <cell r="B269" t="str">
            <v>ROS 30 110 1200X1800 PL/20</v>
          </cell>
          <cell r="C269" t="str">
            <v>PAROC ROS 30 Roof Slab</v>
          </cell>
          <cell r="D269" t="str">
            <v>Roof - Slabs and boards</v>
          </cell>
          <cell r="E269">
            <v>43.2</v>
          </cell>
          <cell r="F269">
            <v>4.75</v>
          </cell>
          <cell r="G269" t="str">
            <v>m2</v>
          </cell>
          <cell r="H269">
            <v>4</v>
          </cell>
          <cell r="I269" t="str">
            <v>110 1200X1800 PL/20</v>
          </cell>
          <cell r="J269" t="str">
            <v>PL/20</v>
          </cell>
          <cell r="K269" t="str">
            <v>HD</v>
          </cell>
          <cell r="L269">
            <v>110</v>
          </cell>
          <cell r="M269">
            <v>1200</v>
          </cell>
          <cell r="N269">
            <v>1800</v>
          </cell>
          <cell r="O269">
            <v>20</v>
          </cell>
          <cell r="Q269">
            <v>403.75</v>
          </cell>
        </row>
        <row r="270">
          <cell r="A270">
            <v>8500908</v>
          </cell>
          <cell r="B270" t="str">
            <v>ROS 30 140 1200X1800 PL/16</v>
          </cell>
          <cell r="C270" t="str">
            <v>PAROC ROS 30 Roof Slab</v>
          </cell>
          <cell r="D270" t="str">
            <v>Roof - Slabs and boards</v>
          </cell>
          <cell r="E270">
            <v>34.56</v>
          </cell>
          <cell r="F270">
            <v>4.84</v>
          </cell>
          <cell r="G270" t="str">
            <v>m2</v>
          </cell>
          <cell r="H270">
            <v>4</v>
          </cell>
          <cell r="I270" t="str">
            <v>140 1200X1800 PL/16</v>
          </cell>
          <cell r="J270" t="str">
            <v>PL/16</v>
          </cell>
          <cell r="K270" t="str">
            <v>HD</v>
          </cell>
          <cell r="L270">
            <v>140</v>
          </cell>
          <cell r="M270">
            <v>1200</v>
          </cell>
          <cell r="N270">
            <v>1800</v>
          </cell>
          <cell r="O270">
            <v>16</v>
          </cell>
          <cell r="Q270">
            <v>411.4</v>
          </cell>
        </row>
        <row r="271">
          <cell r="A271">
            <v>8508713</v>
          </cell>
          <cell r="B271" t="str">
            <v>ROS 40 100 1200X1800 PL/22</v>
          </cell>
          <cell r="C271" t="str">
            <v>PAROC ROS 40 Roof Slab</v>
          </cell>
          <cell r="D271" t="str">
            <v>Roof - Slabs and boards</v>
          </cell>
          <cell r="E271">
            <v>47.52</v>
          </cell>
          <cell r="F271">
            <v>4.75</v>
          </cell>
          <cell r="G271" t="str">
            <v>m2</v>
          </cell>
          <cell r="H271">
            <v>4</v>
          </cell>
          <cell r="I271" t="str">
            <v>100 1200X1800 PL/22</v>
          </cell>
          <cell r="J271" t="str">
            <v>PL/22</v>
          </cell>
          <cell r="K271" t="str">
            <v>HD</v>
          </cell>
          <cell r="L271">
            <v>100</v>
          </cell>
          <cell r="M271">
            <v>1200</v>
          </cell>
          <cell r="N271">
            <v>1800</v>
          </cell>
          <cell r="O271">
            <v>22</v>
          </cell>
          <cell r="Q271">
            <v>456</v>
          </cell>
        </row>
        <row r="272">
          <cell r="A272">
            <v>8522670</v>
          </cell>
          <cell r="B272" t="str">
            <v>ROS 40 130 1200X1800 PL/17</v>
          </cell>
          <cell r="C272" t="str">
            <v>PAROC ROS 40 Roof Slab</v>
          </cell>
          <cell r="D272" t="str">
            <v>Roof - Slabs and boards</v>
          </cell>
          <cell r="E272">
            <v>36.72</v>
          </cell>
          <cell r="F272">
            <v>4.7699999999999996</v>
          </cell>
          <cell r="G272" t="str">
            <v>m2</v>
          </cell>
          <cell r="H272">
            <v>4</v>
          </cell>
          <cell r="I272" t="str">
            <v>130 1200X1800 PL/17</v>
          </cell>
          <cell r="J272" t="str">
            <v>PL/17</v>
          </cell>
          <cell r="K272" t="str">
            <v>HD</v>
          </cell>
          <cell r="L272">
            <v>130</v>
          </cell>
          <cell r="M272">
            <v>1200</v>
          </cell>
          <cell r="N272">
            <v>1800</v>
          </cell>
          <cell r="O272">
            <v>17</v>
          </cell>
          <cell r="Q272">
            <v>457.91999999999996</v>
          </cell>
        </row>
        <row r="273">
          <cell r="A273">
            <v>8538205</v>
          </cell>
          <cell r="B273" t="str">
            <v>FPS 17 30 600X1200 PL/30 7</v>
          </cell>
          <cell r="C273" t="str">
            <v>PAROC FPS 17 Fire Protection Slab</v>
          </cell>
          <cell r="D273" t="str">
            <v>Fire protection</v>
          </cell>
          <cell r="E273">
            <v>151.19999999999999</v>
          </cell>
          <cell r="F273">
            <v>4.54</v>
          </cell>
          <cell r="G273" t="str">
            <v>m2</v>
          </cell>
          <cell r="H273">
            <v>4</v>
          </cell>
          <cell r="I273" t="str">
            <v>30 600X1200 PL/30 7</v>
          </cell>
          <cell r="J273" t="str">
            <v>PL/30 7</v>
          </cell>
          <cell r="K273" t="str">
            <v>HD</v>
          </cell>
          <cell r="L273">
            <v>30</v>
          </cell>
          <cell r="M273">
            <v>600</v>
          </cell>
          <cell r="N273">
            <v>1200</v>
          </cell>
          <cell r="O273">
            <v>30</v>
          </cell>
          <cell r="P273">
            <v>7</v>
          </cell>
          <cell r="Q273">
            <v>771.8</v>
          </cell>
        </row>
        <row r="274">
          <cell r="A274">
            <v>8512446</v>
          </cell>
          <cell r="B274" t="str">
            <v>GRS 20 50 600X1200 PL/21 6</v>
          </cell>
          <cell r="C274" t="str">
            <v>PAROC GRS 20 Ground Slab</v>
          </cell>
          <cell r="D274" t="str">
            <v>Ground insulation</v>
          </cell>
          <cell r="E274">
            <v>90.72</v>
          </cell>
          <cell r="F274">
            <v>4.54</v>
          </cell>
          <cell r="G274" t="str">
            <v>m2</v>
          </cell>
          <cell r="H274">
            <v>4</v>
          </cell>
          <cell r="I274" t="str">
            <v>50 600X1200 PL/21 6</v>
          </cell>
          <cell r="J274" t="str">
            <v>PL/21 6</v>
          </cell>
          <cell r="K274" t="str">
            <v>HD</v>
          </cell>
          <cell r="L274">
            <v>50</v>
          </cell>
          <cell r="M274">
            <v>600</v>
          </cell>
          <cell r="N274">
            <v>1200</v>
          </cell>
          <cell r="O274">
            <v>21</v>
          </cell>
          <cell r="P274">
            <v>6</v>
          </cell>
          <cell r="Q274">
            <v>408.6</v>
          </cell>
        </row>
        <row r="275">
          <cell r="A275">
            <v>8544545</v>
          </cell>
          <cell r="B275" t="str">
            <v>eXtra 75 600X1200 BP/24 10</v>
          </cell>
          <cell r="C275" t="str">
            <v>PAROC eXtra Flexible Slab</v>
          </cell>
          <cell r="D275" t="str">
            <v>Flexible slabs &amp; mats</v>
          </cell>
          <cell r="E275">
            <v>172.8</v>
          </cell>
          <cell r="F275">
            <v>12.96</v>
          </cell>
          <cell r="G275" t="str">
            <v>m2</v>
          </cell>
          <cell r="H275">
            <v>4</v>
          </cell>
          <cell r="I275" t="str">
            <v>75 600X1200 BP/24 10</v>
          </cell>
          <cell r="J275" t="str">
            <v>BP/24 10</v>
          </cell>
          <cell r="K275" t="str">
            <v>EXL</v>
          </cell>
          <cell r="L275">
            <v>75</v>
          </cell>
          <cell r="M275">
            <v>600</v>
          </cell>
          <cell r="N275">
            <v>1200</v>
          </cell>
          <cell r="O275">
            <v>24</v>
          </cell>
          <cell r="P275">
            <v>10</v>
          </cell>
          <cell r="Q275">
            <v>362.88</v>
          </cell>
        </row>
        <row r="276">
          <cell r="A276">
            <v>8542509</v>
          </cell>
          <cell r="B276" t="str">
            <v>WAS 50tb 50 600X1200 BP/16 10</v>
          </cell>
          <cell r="C276" t="str">
            <v>PAROC WAS 50tb Wall Slab</v>
          </cell>
          <cell r="D276" t="str">
            <v>Wall slabs &amp; boards</v>
          </cell>
          <cell r="E276">
            <v>115.2</v>
          </cell>
          <cell r="F276">
            <v>5.76</v>
          </cell>
          <cell r="G276" t="str">
            <v>m2</v>
          </cell>
          <cell r="H276">
            <v>4</v>
          </cell>
          <cell r="I276" t="str">
            <v>50 600X1200 BP/16 10</v>
          </cell>
          <cell r="J276" t="str">
            <v>BP/16 10</v>
          </cell>
          <cell r="K276" t="str">
            <v>HD</v>
          </cell>
          <cell r="L276">
            <v>50</v>
          </cell>
          <cell r="M276">
            <v>600</v>
          </cell>
          <cell r="N276">
            <v>1200</v>
          </cell>
          <cell r="O276">
            <v>16</v>
          </cell>
          <cell r="P276">
            <v>10</v>
          </cell>
          <cell r="Q276">
            <v>259.2</v>
          </cell>
        </row>
        <row r="277">
          <cell r="A277">
            <v>8550129</v>
          </cell>
          <cell r="B277" t="str">
            <v>WAS 35 150 600X1200 PL/24 2</v>
          </cell>
          <cell r="C277" t="str">
            <v>PAROC WAS 35 Wall Slab</v>
          </cell>
          <cell r="D277" t="str">
            <v>Wall slabs &amp; boards</v>
          </cell>
          <cell r="E277">
            <v>34.56</v>
          </cell>
          <cell r="F277">
            <v>5.18</v>
          </cell>
          <cell r="G277" t="str">
            <v>m2</v>
          </cell>
          <cell r="H277">
            <v>4</v>
          </cell>
          <cell r="I277" t="str">
            <v>150 600X1200 PL/24 2</v>
          </cell>
          <cell r="J277" t="str">
            <v>PL/24 2</v>
          </cell>
          <cell r="K277" t="str">
            <v>HD</v>
          </cell>
          <cell r="L277">
            <v>150</v>
          </cell>
          <cell r="M277">
            <v>600</v>
          </cell>
          <cell r="N277">
            <v>1200</v>
          </cell>
          <cell r="O277">
            <v>24</v>
          </cell>
          <cell r="P277">
            <v>2</v>
          </cell>
          <cell r="Q277">
            <v>362.59999999999997</v>
          </cell>
        </row>
        <row r="278">
          <cell r="A278">
            <v>8549566</v>
          </cell>
          <cell r="B278" t="str">
            <v>Linio 20 100 600X1200 PL/36 2</v>
          </cell>
          <cell r="C278" t="str">
            <v>PAROC Linio 20 Rendered Facade Slab</v>
          </cell>
          <cell r="D278" t="str">
            <v>Rendered facades</v>
          </cell>
          <cell r="E278">
            <v>51.84</v>
          </cell>
          <cell r="F278">
            <v>5.18</v>
          </cell>
          <cell r="G278" t="str">
            <v>m2</v>
          </cell>
          <cell r="H278">
            <v>4</v>
          </cell>
          <cell r="I278" t="str">
            <v>100 600X1200 PL/36 2</v>
          </cell>
          <cell r="J278" t="str">
            <v>PL/36 2</v>
          </cell>
          <cell r="K278" t="str">
            <v>HD</v>
          </cell>
          <cell r="L278">
            <v>100</v>
          </cell>
          <cell r="M278">
            <v>600</v>
          </cell>
          <cell r="N278">
            <v>1200</v>
          </cell>
          <cell r="O278">
            <v>36</v>
          </cell>
          <cell r="P278">
            <v>2</v>
          </cell>
          <cell r="Q278">
            <v>569.79999999999995</v>
          </cell>
        </row>
        <row r="279">
          <cell r="A279">
            <v>8551149</v>
          </cell>
          <cell r="B279" t="str">
            <v>Linio 20 50 600X1200 PL/36 4</v>
          </cell>
          <cell r="C279" t="str">
            <v>PAROC Linio 20 Rendered Facade Slab</v>
          </cell>
          <cell r="D279" t="str">
            <v>Rendered facades</v>
          </cell>
          <cell r="E279">
            <v>103.68</v>
          </cell>
          <cell r="F279">
            <v>5.18</v>
          </cell>
          <cell r="G279" t="str">
            <v>m2</v>
          </cell>
          <cell r="H279">
            <v>4</v>
          </cell>
          <cell r="I279" t="str">
            <v>50 600X1200 PL/36 4</v>
          </cell>
          <cell r="J279" t="str">
            <v>PL/36 4</v>
          </cell>
          <cell r="K279" t="str">
            <v>HD</v>
          </cell>
          <cell r="L279">
            <v>50</v>
          </cell>
          <cell r="M279">
            <v>600</v>
          </cell>
          <cell r="N279">
            <v>1200</v>
          </cell>
          <cell r="O279">
            <v>36</v>
          </cell>
          <cell r="P279">
            <v>4</v>
          </cell>
          <cell r="Q279">
            <v>569.79999999999995</v>
          </cell>
        </row>
        <row r="280">
          <cell r="A280">
            <v>8548884</v>
          </cell>
          <cell r="B280" t="str">
            <v>Linio 15 80 600X1200 PL/30 3</v>
          </cell>
          <cell r="C280" t="str">
            <v>PAROC Linio 15 Rendered Facade Slab</v>
          </cell>
          <cell r="D280" t="str">
            <v>Rendered facades</v>
          </cell>
          <cell r="E280">
            <v>64.8</v>
          </cell>
          <cell r="F280">
            <v>5.18</v>
          </cell>
          <cell r="G280" t="str">
            <v>m2</v>
          </cell>
          <cell r="H280">
            <v>4</v>
          </cell>
          <cell r="I280" t="str">
            <v>80 600X1200 PL/30 3</v>
          </cell>
          <cell r="J280" t="str">
            <v>PL/30 3</v>
          </cell>
          <cell r="K280" t="str">
            <v>HD</v>
          </cell>
          <cell r="L280">
            <v>80</v>
          </cell>
          <cell r="M280">
            <v>600</v>
          </cell>
          <cell r="N280">
            <v>1200</v>
          </cell>
          <cell r="O280">
            <v>30</v>
          </cell>
          <cell r="P280">
            <v>3</v>
          </cell>
          <cell r="Q280">
            <v>450.65999999999997</v>
          </cell>
        </row>
        <row r="281">
          <cell r="A281">
            <v>8548773</v>
          </cell>
          <cell r="B281" t="str">
            <v>Linio 10 200 600X1200 PL/18 2</v>
          </cell>
          <cell r="C281" t="str">
            <v>PAROC Linio 10 Rendered Facade Slab</v>
          </cell>
          <cell r="D281" t="str">
            <v>Rendered facades</v>
          </cell>
          <cell r="E281">
            <v>25.92</v>
          </cell>
          <cell r="F281">
            <v>5.18</v>
          </cell>
          <cell r="G281" t="str">
            <v>m2</v>
          </cell>
          <cell r="H281">
            <v>4</v>
          </cell>
          <cell r="I281" t="str">
            <v>200 600X1200 PL/18 2</v>
          </cell>
          <cell r="J281" t="str">
            <v>PL/18 2</v>
          </cell>
          <cell r="K281" t="str">
            <v>HD</v>
          </cell>
          <cell r="L281">
            <v>200</v>
          </cell>
          <cell r="M281">
            <v>600</v>
          </cell>
          <cell r="N281">
            <v>1200</v>
          </cell>
          <cell r="O281">
            <v>18</v>
          </cell>
          <cell r="P281">
            <v>2</v>
          </cell>
          <cell r="Q281">
            <v>398.85999999999996</v>
          </cell>
        </row>
        <row r="282">
          <cell r="A282">
            <v>8557750</v>
          </cell>
          <cell r="B282" t="str">
            <v>Fatio 50 600X1200 PL/24 6</v>
          </cell>
          <cell r="C282" t="str">
            <v>PAROC Fatio Rendered Facade Slab</v>
          </cell>
          <cell r="D282" t="str">
            <v>Rendered facades</v>
          </cell>
          <cell r="E282">
            <v>103.68</v>
          </cell>
          <cell r="F282">
            <v>5.18</v>
          </cell>
          <cell r="G282" t="str">
            <v>m2</v>
          </cell>
          <cell r="H282">
            <v>4</v>
          </cell>
          <cell r="I282" t="str">
            <v>50 600X1200 PL/24 6</v>
          </cell>
          <cell r="J282" t="str">
            <v>PL/24 6</v>
          </cell>
          <cell r="K282" t="str">
            <v>HD</v>
          </cell>
          <cell r="L282">
            <v>50</v>
          </cell>
          <cell r="M282">
            <v>600</v>
          </cell>
          <cell r="N282">
            <v>1200</v>
          </cell>
          <cell r="O282">
            <v>24</v>
          </cell>
          <cell r="P282">
            <v>6</v>
          </cell>
          <cell r="Q282">
            <v>362.59999999999997</v>
          </cell>
        </row>
        <row r="283">
          <cell r="A283">
            <v>8560329</v>
          </cell>
          <cell r="B283" t="str">
            <v>Linio 18 120 600X1200 PL/30 2</v>
          </cell>
          <cell r="C283" t="str">
            <v>PAROC Linio 18 Rendered Facade Slab</v>
          </cell>
          <cell r="D283" t="str">
            <v>Rendered facades</v>
          </cell>
          <cell r="E283">
            <v>43.2</v>
          </cell>
          <cell r="F283">
            <v>5.18</v>
          </cell>
          <cell r="G283" t="str">
            <v>m2</v>
          </cell>
          <cell r="H283">
            <v>4</v>
          </cell>
          <cell r="I283" t="str">
            <v>120 600X1200 PL/30 2</v>
          </cell>
          <cell r="J283" t="str">
            <v>PL/30 2</v>
          </cell>
          <cell r="K283" t="str">
            <v>HD</v>
          </cell>
          <cell r="L283">
            <v>120</v>
          </cell>
          <cell r="M283">
            <v>600</v>
          </cell>
          <cell r="N283">
            <v>1200</v>
          </cell>
          <cell r="O283">
            <v>30</v>
          </cell>
          <cell r="P283">
            <v>2</v>
          </cell>
          <cell r="Q283">
            <v>481.73999999999995</v>
          </cell>
        </row>
        <row r="284">
          <cell r="A284">
            <v>8560352</v>
          </cell>
          <cell r="B284" t="str">
            <v>Linio 18 40 600X1200 PL/30 6</v>
          </cell>
          <cell r="C284" t="str">
            <v>PAROC Linio 18 Rendered Facade Slab</v>
          </cell>
          <cell r="D284" t="str">
            <v>Rendered facades</v>
          </cell>
          <cell r="E284">
            <v>129.6</v>
          </cell>
          <cell r="F284">
            <v>5.18</v>
          </cell>
          <cell r="G284" t="str">
            <v>m2</v>
          </cell>
          <cell r="H284">
            <v>4</v>
          </cell>
          <cell r="I284" t="str">
            <v>40 600X1200 PL/30 6</v>
          </cell>
          <cell r="J284" t="str">
            <v>PL/30 6</v>
          </cell>
          <cell r="K284" t="str">
            <v>HD</v>
          </cell>
          <cell r="L284">
            <v>40</v>
          </cell>
          <cell r="M284">
            <v>600</v>
          </cell>
          <cell r="N284">
            <v>1200</v>
          </cell>
          <cell r="O284">
            <v>30</v>
          </cell>
          <cell r="P284">
            <v>6</v>
          </cell>
          <cell r="Q284">
            <v>481.73999999999995</v>
          </cell>
        </row>
        <row r="285">
          <cell r="A285">
            <v>8560343</v>
          </cell>
          <cell r="B285" t="str">
            <v>Linio 18 200 600X1200 PL/18 2</v>
          </cell>
          <cell r="C285" t="str">
            <v>PAROC Linio 18 Rendered Facade Slab</v>
          </cell>
          <cell r="D285" t="str">
            <v>Rendered facades</v>
          </cell>
          <cell r="E285">
            <v>25.92</v>
          </cell>
          <cell r="F285">
            <v>5.18</v>
          </cell>
          <cell r="G285" t="str">
            <v>m2</v>
          </cell>
          <cell r="H285">
            <v>4</v>
          </cell>
          <cell r="I285" t="str">
            <v>200 600X1200 PL/18 2</v>
          </cell>
          <cell r="J285" t="str">
            <v>PL/18 2</v>
          </cell>
          <cell r="K285" t="str">
            <v>HD</v>
          </cell>
          <cell r="L285">
            <v>200</v>
          </cell>
          <cell r="M285">
            <v>600</v>
          </cell>
          <cell r="N285">
            <v>1200</v>
          </cell>
          <cell r="O285">
            <v>18</v>
          </cell>
          <cell r="P285">
            <v>2</v>
          </cell>
          <cell r="Q285">
            <v>481.73999999999995</v>
          </cell>
        </row>
        <row r="286">
          <cell r="A286">
            <v>8560339</v>
          </cell>
          <cell r="B286" t="str">
            <v>Linio 18 70 600X1200 PL/33 3</v>
          </cell>
          <cell r="C286" t="str">
            <v>PAROC Linio 18 Rendered Facade Slab</v>
          </cell>
          <cell r="D286" t="str">
            <v>Rendered facades</v>
          </cell>
          <cell r="E286">
            <v>71.28</v>
          </cell>
          <cell r="F286">
            <v>4.99</v>
          </cell>
          <cell r="G286" t="str">
            <v>m2</v>
          </cell>
          <cell r="H286">
            <v>4</v>
          </cell>
          <cell r="I286" t="str">
            <v>70 600X1200 PL/33 3</v>
          </cell>
          <cell r="J286" t="str">
            <v>PL/33 3</v>
          </cell>
          <cell r="K286" t="str">
            <v>HD</v>
          </cell>
          <cell r="L286">
            <v>70</v>
          </cell>
          <cell r="M286">
            <v>600</v>
          </cell>
          <cell r="N286">
            <v>1200</v>
          </cell>
          <cell r="O286">
            <v>33</v>
          </cell>
          <cell r="P286">
            <v>3</v>
          </cell>
          <cell r="Q286">
            <v>464.07</v>
          </cell>
        </row>
        <row r="287">
          <cell r="A287">
            <v>8560470</v>
          </cell>
          <cell r="B287" t="str">
            <v>WAS 120 170 600X1200 BP/24 4</v>
          </cell>
          <cell r="C287" t="str">
            <v>PAROC WAS 120 Wall Slab</v>
          </cell>
          <cell r="D287" t="str">
            <v>Wall slabs &amp; boards</v>
          </cell>
          <cell r="E287">
            <v>69.12</v>
          </cell>
          <cell r="F287">
            <v>11.75</v>
          </cell>
          <cell r="G287" t="str">
            <v>m2</v>
          </cell>
          <cell r="H287">
            <v>4</v>
          </cell>
          <cell r="I287" t="str">
            <v>170 600X1200 BP/24 4</v>
          </cell>
          <cell r="J287" t="str">
            <v>BP/24 4</v>
          </cell>
          <cell r="K287" t="str">
            <v>EXL</v>
          </cell>
          <cell r="L287">
            <v>170</v>
          </cell>
          <cell r="M287">
            <v>600</v>
          </cell>
          <cell r="N287">
            <v>1200</v>
          </cell>
          <cell r="O287">
            <v>24</v>
          </cell>
          <cell r="P287">
            <v>4</v>
          </cell>
          <cell r="Q287">
            <v>352.5</v>
          </cell>
        </row>
        <row r="288">
          <cell r="A288">
            <v>8539065</v>
          </cell>
          <cell r="B288" t="str">
            <v>ROS 50 150 1200X1800 PL/15</v>
          </cell>
          <cell r="C288" t="str">
            <v>PAROC ROS 50 Roof Slab</v>
          </cell>
          <cell r="D288" t="str">
            <v>Roof - Slabs and boards</v>
          </cell>
          <cell r="E288">
            <v>32.4</v>
          </cell>
          <cell r="F288">
            <v>4.8600000000000003</v>
          </cell>
          <cell r="G288" t="str">
            <v>m2</v>
          </cell>
          <cell r="H288">
            <v>4</v>
          </cell>
          <cell r="I288" t="str">
            <v>150 1200X1800 PL/15</v>
          </cell>
          <cell r="J288" t="str">
            <v>PL/15</v>
          </cell>
          <cell r="K288" t="str">
            <v>HD</v>
          </cell>
          <cell r="L288">
            <v>150</v>
          </cell>
          <cell r="M288">
            <v>1200</v>
          </cell>
          <cell r="N288">
            <v>1800</v>
          </cell>
          <cell r="O288">
            <v>15</v>
          </cell>
          <cell r="Q288">
            <v>568.62</v>
          </cell>
        </row>
        <row r="289">
          <cell r="A289">
            <v>8538672</v>
          </cell>
          <cell r="B289" t="str">
            <v>eXtra plus 150 565X1220 BP/16 4</v>
          </cell>
          <cell r="C289" t="str">
            <v>PAROC eXtra plus Flexible slab</v>
          </cell>
          <cell r="D289" t="str">
            <v>Flexible slabs &amp; mats</v>
          </cell>
          <cell r="E289">
            <v>44.16</v>
          </cell>
          <cell r="F289">
            <v>6.62</v>
          </cell>
          <cell r="G289" t="str">
            <v>m2</v>
          </cell>
          <cell r="H289">
            <v>4</v>
          </cell>
          <cell r="I289" t="str">
            <v>150 565X1220 BP/16 4</v>
          </cell>
          <cell r="J289" t="str">
            <v>BP/16 4</v>
          </cell>
          <cell r="K289" t="str">
            <v>MD</v>
          </cell>
          <cell r="L289">
            <v>150</v>
          </cell>
          <cell r="M289">
            <v>565</v>
          </cell>
          <cell r="N289">
            <v>1220</v>
          </cell>
          <cell r="O289">
            <v>16</v>
          </cell>
          <cell r="P289">
            <v>4</v>
          </cell>
          <cell r="Q289">
            <v>264.8</v>
          </cell>
        </row>
        <row r="290">
          <cell r="A290">
            <v>8538680</v>
          </cell>
          <cell r="B290" t="str">
            <v>eXtra plus 50 565X1220 BP/16 12</v>
          </cell>
          <cell r="C290" t="str">
            <v>PAROC eXtra plus Flexible slab</v>
          </cell>
          <cell r="D290" t="str">
            <v>Flexible slabs &amp; mats</v>
          </cell>
          <cell r="E290">
            <v>132.32</v>
          </cell>
          <cell r="F290">
            <v>6.62</v>
          </cell>
          <cell r="G290" t="str">
            <v>m2</v>
          </cell>
          <cell r="H290">
            <v>4</v>
          </cell>
          <cell r="I290" t="str">
            <v>50 565X1220 BP/16 12</v>
          </cell>
          <cell r="J290" t="str">
            <v>BP/16 12</v>
          </cell>
          <cell r="K290" t="str">
            <v>MD</v>
          </cell>
          <cell r="L290">
            <v>50</v>
          </cell>
          <cell r="M290">
            <v>565</v>
          </cell>
          <cell r="N290">
            <v>1220</v>
          </cell>
          <cell r="O290">
            <v>16</v>
          </cell>
          <cell r="P290">
            <v>12</v>
          </cell>
          <cell r="Q290">
            <v>264.8</v>
          </cell>
        </row>
        <row r="291">
          <cell r="A291">
            <v>8561923</v>
          </cell>
          <cell r="B291" t="str">
            <v>WAS 120 140 600X1200 BP/24 5</v>
          </cell>
          <cell r="C291" t="str">
            <v>PAROC WAS 120 Wall Slab</v>
          </cell>
          <cell r="D291" t="str">
            <v>Wall slabs &amp; boards</v>
          </cell>
          <cell r="E291">
            <v>86.4</v>
          </cell>
          <cell r="F291">
            <v>12.1</v>
          </cell>
          <cell r="G291" t="str">
            <v>m2</v>
          </cell>
          <cell r="H291">
            <v>4</v>
          </cell>
          <cell r="I291" t="str">
            <v>140 600X1200 BP/24 5</v>
          </cell>
          <cell r="J291" t="str">
            <v>BP/24 5</v>
          </cell>
          <cell r="K291" t="str">
            <v>EXL</v>
          </cell>
          <cell r="L291">
            <v>140</v>
          </cell>
          <cell r="M291">
            <v>600</v>
          </cell>
          <cell r="N291">
            <v>1200</v>
          </cell>
          <cell r="O291">
            <v>24</v>
          </cell>
          <cell r="P291">
            <v>5</v>
          </cell>
          <cell r="Q291">
            <v>363</v>
          </cell>
        </row>
        <row r="292">
          <cell r="A292">
            <v>8530480</v>
          </cell>
          <cell r="B292" t="str">
            <v>WAS 35 160 600X1200 PL/21 2</v>
          </cell>
          <cell r="C292" t="str">
            <v>PAROC WAS 35 Wall Slab</v>
          </cell>
          <cell r="D292" t="str">
            <v>Wall slabs &amp; boards</v>
          </cell>
          <cell r="E292">
            <v>30.24</v>
          </cell>
          <cell r="F292">
            <v>4.84</v>
          </cell>
          <cell r="G292" t="str">
            <v>m2</v>
          </cell>
          <cell r="H292">
            <v>4</v>
          </cell>
          <cell r="I292" t="str">
            <v>160 600X1200 PL/21 2</v>
          </cell>
          <cell r="J292" t="str">
            <v>PL/21 2</v>
          </cell>
          <cell r="K292" t="str">
            <v>HD</v>
          </cell>
          <cell r="L292">
            <v>160</v>
          </cell>
          <cell r="M292">
            <v>600</v>
          </cell>
          <cell r="N292">
            <v>1200</v>
          </cell>
          <cell r="O292">
            <v>21</v>
          </cell>
          <cell r="P292">
            <v>2</v>
          </cell>
          <cell r="Q292">
            <v>338.8</v>
          </cell>
        </row>
        <row r="293">
          <cell r="A293">
            <v>8563238</v>
          </cell>
          <cell r="B293" t="str">
            <v>InWall 80 600X1200 BP/16 8</v>
          </cell>
          <cell r="C293" t="str">
            <v>PAROC InWall Wall Slab</v>
          </cell>
          <cell r="D293" t="str">
            <v>Wall slabs &amp; boards</v>
          </cell>
          <cell r="E293">
            <v>92.16</v>
          </cell>
          <cell r="F293">
            <v>7.37</v>
          </cell>
          <cell r="G293" t="str">
            <v>m2</v>
          </cell>
          <cell r="H293">
            <v>4</v>
          </cell>
          <cell r="I293" t="str">
            <v>80 600X1200 BP/16 8</v>
          </cell>
          <cell r="J293" t="str">
            <v>BP/16 8</v>
          </cell>
          <cell r="K293" t="str">
            <v>MD</v>
          </cell>
          <cell r="L293">
            <v>80</v>
          </cell>
          <cell r="M293">
            <v>600</v>
          </cell>
          <cell r="N293">
            <v>1200</v>
          </cell>
          <cell r="O293">
            <v>16</v>
          </cell>
          <cell r="P293">
            <v>8</v>
          </cell>
          <cell r="Q293">
            <v>280.06</v>
          </cell>
        </row>
        <row r="294">
          <cell r="A294">
            <v>8564262</v>
          </cell>
          <cell r="B294" t="str">
            <v>Linio 18 170 600X1200 PL/21 2</v>
          </cell>
          <cell r="C294" t="str">
            <v>PAROC Linio 18 Rendered Facade Slab</v>
          </cell>
          <cell r="D294" t="str">
            <v>Rendered facades</v>
          </cell>
          <cell r="E294">
            <v>30.24</v>
          </cell>
          <cell r="F294">
            <v>5.14</v>
          </cell>
          <cell r="G294" t="str">
            <v>m2</v>
          </cell>
          <cell r="H294">
            <v>4</v>
          </cell>
          <cell r="I294" t="str">
            <v>170 600X1200 PL/21 2</v>
          </cell>
          <cell r="J294" t="str">
            <v>PL/21 2</v>
          </cell>
          <cell r="K294" t="str">
            <v>HD</v>
          </cell>
          <cell r="L294">
            <v>170</v>
          </cell>
          <cell r="M294">
            <v>600</v>
          </cell>
          <cell r="N294">
            <v>1200</v>
          </cell>
          <cell r="O294">
            <v>21</v>
          </cell>
          <cell r="P294">
            <v>2</v>
          </cell>
          <cell r="Q294">
            <v>478.02</v>
          </cell>
        </row>
        <row r="295">
          <cell r="A295">
            <v>8564579</v>
          </cell>
          <cell r="B295" t="str">
            <v>Linio 18 220 600X1200 PL/33 1</v>
          </cell>
          <cell r="C295" t="str">
            <v>PAROC Linio 18 Rendered Facade Slab</v>
          </cell>
          <cell r="D295" t="str">
            <v>Rendered facades</v>
          </cell>
          <cell r="E295">
            <v>23.76</v>
          </cell>
          <cell r="F295">
            <v>5.23</v>
          </cell>
          <cell r="G295" t="str">
            <v>m2</v>
          </cell>
          <cell r="H295">
            <v>4</v>
          </cell>
          <cell r="I295" t="str">
            <v>220 600X1200 PL/33 1</v>
          </cell>
          <cell r="J295" t="str">
            <v>PL/33 1</v>
          </cell>
          <cell r="K295" t="str">
            <v>HD</v>
          </cell>
          <cell r="L295">
            <v>220</v>
          </cell>
          <cell r="M295">
            <v>600</v>
          </cell>
          <cell r="N295">
            <v>1200</v>
          </cell>
          <cell r="O295">
            <v>33</v>
          </cell>
          <cell r="P295">
            <v>1</v>
          </cell>
          <cell r="Q295">
            <v>486.39000000000004</v>
          </cell>
        </row>
        <row r="296">
          <cell r="A296">
            <v>8564601</v>
          </cell>
          <cell r="B296" t="str">
            <v>ROS 30 250 1200X1800 PL/9</v>
          </cell>
          <cell r="C296" t="str">
            <v>PAROC ROS 30 Roof Slab</v>
          </cell>
          <cell r="D296" t="str">
            <v>Roof - Slabs and boards</v>
          </cell>
          <cell r="E296">
            <v>19.440000000000001</v>
          </cell>
          <cell r="F296">
            <v>4.8600000000000003</v>
          </cell>
          <cell r="G296" t="str">
            <v>m2</v>
          </cell>
          <cell r="H296">
            <v>4</v>
          </cell>
          <cell r="I296" t="str">
            <v>250 1200X1800 PL/9</v>
          </cell>
          <cell r="J296" t="str">
            <v>PL/9</v>
          </cell>
          <cell r="K296" t="str">
            <v>HD</v>
          </cell>
          <cell r="L296">
            <v>250</v>
          </cell>
          <cell r="M296">
            <v>1200</v>
          </cell>
          <cell r="N296">
            <v>1800</v>
          </cell>
          <cell r="O296">
            <v>9</v>
          </cell>
          <cell r="Q296">
            <v>413.1</v>
          </cell>
        </row>
        <row r="297">
          <cell r="A297">
            <v>8543108</v>
          </cell>
          <cell r="B297" t="str">
            <v>WAS 25t 40 600X1200 PL/21 8</v>
          </cell>
          <cell r="C297" t="str">
            <v>PAROC WAS 25t Wall Slab</v>
          </cell>
          <cell r="D297" t="str">
            <v>Wall slabs &amp; boards</v>
          </cell>
          <cell r="E297">
            <v>120.96</v>
          </cell>
          <cell r="F297">
            <v>4.84</v>
          </cell>
          <cell r="G297" t="str">
            <v>m2</v>
          </cell>
          <cell r="H297">
            <v>4</v>
          </cell>
          <cell r="I297" t="str">
            <v>40 600X1200 PL/21 8</v>
          </cell>
          <cell r="J297" t="str">
            <v>PL/21 8</v>
          </cell>
          <cell r="K297" t="str">
            <v>HD</v>
          </cell>
          <cell r="L297">
            <v>40</v>
          </cell>
          <cell r="M297">
            <v>600</v>
          </cell>
          <cell r="N297">
            <v>1200</v>
          </cell>
          <cell r="O297">
            <v>21</v>
          </cell>
          <cell r="P297">
            <v>8</v>
          </cell>
          <cell r="Q297">
            <v>387.2</v>
          </cell>
        </row>
        <row r="298">
          <cell r="A298">
            <v>8565574</v>
          </cell>
          <cell r="B298" t="str">
            <v>eXtra Light 50 600X1200 BP/12 16</v>
          </cell>
          <cell r="C298" t="str">
            <v>PAROC eXtra Light Flexible slab</v>
          </cell>
          <cell r="D298" t="str">
            <v>Flexible slabs &amp; mats</v>
          </cell>
          <cell r="E298">
            <v>138.24</v>
          </cell>
          <cell r="F298">
            <v>6.91</v>
          </cell>
          <cell r="G298" t="str">
            <v>m2</v>
          </cell>
          <cell r="H298">
            <v>4</v>
          </cell>
          <cell r="I298" t="str">
            <v>50 600X1200 BP/12 16</v>
          </cell>
          <cell r="J298" t="str">
            <v>BP/12 16</v>
          </cell>
          <cell r="K298" t="str">
            <v>EXL</v>
          </cell>
          <cell r="L298">
            <v>50</v>
          </cell>
          <cell r="M298">
            <v>600</v>
          </cell>
          <cell r="N298">
            <v>1200</v>
          </cell>
          <cell r="O298">
            <v>12</v>
          </cell>
          <cell r="P298">
            <v>16</v>
          </cell>
          <cell r="Q298">
            <v>165.84</v>
          </cell>
        </row>
        <row r="299">
          <cell r="A299">
            <v>8565106</v>
          </cell>
          <cell r="B299" t="str">
            <v>ROB 80t 20 1200X1750 PL/54</v>
          </cell>
          <cell r="C299" t="str">
            <v>PAROC ROB 80t Roof Board</v>
          </cell>
          <cell r="D299" t="str">
            <v>Roof - Slabs and boards</v>
          </cell>
          <cell r="E299">
            <v>113.4</v>
          </cell>
          <cell r="F299">
            <v>2.27</v>
          </cell>
          <cell r="G299" t="str">
            <v>m2</v>
          </cell>
          <cell r="H299">
            <v>4</v>
          </cell>
          <cell r="I299" t="str">
            <v>20 1200X1750 PL/54</v>
          </cell>
          <cell r="J299" t="str">
            <v>PL/54</v>
          </cell>
          <cell r="K299" t="str">
            <v>HD</v>
          </cell>
          <cell r="L299">
            <v>20</v>
          </cell>
          <cell r="M299">
            <v>1200</v>
          </cell>
          <cell r="N299">
            <v>1750</v>
          </cell>
          <cell r="O299">
            <v>54</v>
          </cell>
          <cell r="Q299">
            <v>397.25</v>
          </cell>
        </row>
        <row r="300">
          <cell r="A300">
            <v>8538991</v>
          </cell>
          <cell r="B300" t="str">
            <v>WAS 35tb 80 600X1200 PL/21 4</v>
          </cell>
          <cell r="C300" t="str">
            <v>PAROC WAS 35tb Wall Slab</v>
          </cell>
          <cell r="D300" t="str">
            <v>Wall slabs &amp; boards</v>
          </cell>
          <cell r="E300">
            <v>60.48</v>
          </cell>
          <cell r="F300">
            <v>4.84</v>
          </cell>
          <cell r="G300" t="str">
            <v>m2</v>
          </cell>
          <cell r="H300">
            <v>4</v>
          </cell>
          <cell r="I300" t="str">
            <v>80 600X1200 PL/21 4</v>
          </cell>
          <cell r="J300" t="str">
            <v>PL/21 4</v>
          </cell>
          <cell r="K300" t="str">
            <v>HD</v>
          </cell>
          <cell r="L300">
            <v>80</v>
          </cell>
          <cell r="M300">
            <v>600</v>
          </cell>
          <cell r="N300">
            <v>1200</v>
          </cell>
          <cell r="O300">
            <v>21</v>
          </cell>
          <cell r="P300">
            <v>4</v>
          </cell>
          <cell r="Q300">
            <v>338.8</v>
          </cell>
        </row>
        <row r="301">
          <cell r="A301">
            <v>8565578</v>
          </cell>
          <cell r="B301" t="str">
            <v>FPS 17 120 600X1200 PL/30 2</v>
          </cell>
          <cell r="C301" t="str">
            <v>PAROC FPS 17 Fire Protection Slab</v>
          </cell>
          <cell r="D301" t="str">
            <v>Fire protection</v>
          </cell>
          <cell r="E301">
            <v>43.2</v>
          </cell>
          <cell r="F301">
            <v>5.18</v>
          </cell>
          <cell r="G301" t="str">
            <v>m2</v>
          </cell>
          <cell r="H301">
            <v>4</v>
          </cell>
          <cell r="I301" t="str">
            <v>120 600X1200 PL/30 2</v>
          </cell>
          <cell r="J301" t="str">
            <v>PL/30 2</v>
          </cell>
          <cell r="K301" t="str">
            <v>HD</v>
          </cell>
          <cell r="L301">
            <v>120</v>
          </cell>
          <cell r="M301">
            <v>600</v>
          </cell>
          <cell r="N301">
            <v>1200</v>
          </cell>
          <cell r="O301">
            <v>30</v>
          </cell>
          <cell r="P301">
            <v>2</v>
          </cell>
          <cell r="Q301">
            <v>880.59999999999991</v>
          </cell>
        </row>
        <row r="302">
          <cell r="A302">
            <v>8554009</v>
          </cell>
          <cell r="B302" t="str">
            <v>WAS 50 180 600X1200 BP/16 3</v>
          </cell>
          <cell r="C302" t="str">
            <v>PAROC WAS 50 Wall Slab</v>
          </cell>
          <cell r="D302" t="str">
            <v>Wall slabs &amp; boards</v>
          </cell>
          <cell r="E302">
            <v>34.56</v>
          </cell>
          <cell r="F302">
            <v>6.22</v>
          </cell>
          <cell r="G302" t="str">
            <v>m2</v>
          </cell>
          <cell r="H302">
            <v>4</v>
          </cell>
          <cell r="I302" t="str">
            <v>180 600X1200 BP/16 3</v>
          </cell>
          <cell r="J302" t="str">
            <v>BP/16 3</v>
          </cell>
          <cell r="K302" t="str">
            <v>HD</v>
          </cell>
          <cell r="L302">
            <v>180</v>
          </cell>
          <cell r="M302">
            <v>600</v>
          </cell>
          <cell r="N302">
            <v>1200</v>
          </cell>
          <cell r="O302">
            <v>16</v>
          </cell>
          <cell r="P302">
            <v>3</v>
          </cell>
          <cell r="Q302">
            <v>279.89999999999998</v>
          </cell>
        </row>
        <row r="303">
          <cell r="A303">
            <v>8566743</v>
          </cell>
          <cell r="B303" t="str">
            <v>Linio 18 260 600X1200 PL/27 1</v>
          </cell>
          <cell r="C303" t="str">
            <v>PAROC Linio 18 Rendered Facade Slab</v>
          </cell>
          <cell r="D303" t="str">
            <v>Rendered facades</v>
          </cell>
          <cell r="E303">
            <v>19.440000000000001</v>
          </cell>
          <cell r="F303">
            <v>5.05</v>
          </cell>
          <cell r="G303" t="str">
            <v>m2</v>
          </cell>
          <cell r="H303">
            <v>4</v>
          </cell>
          <cell r="I303" t="str">
            <v>260 600X1200 PL/27 1</v>
          </cell>
          <cell r="J303" t="str">
            <v>PL/27 1</v>
          </cell>
          <cell r="K303" t="str">
            <v>HD</v>
          </cell>
          <cell r="L303">
            <v>260</v>
          </cell>
          <cell r="M303">
            <v>600</v>
          </cell>
          <cell r="N303">
            <v>1200</v>
          </cell>
          <cell r="O303">
            <v>27</v>
          </cell>
          <cell r="P303">
            <v>1</v>
          </cell>
          <cell r="Q303">
            <v>469.65</v>
          </cell>
        </row>
        <row r="304">
          <cell r="A304">
            <v>8551180</v>
          </cell>
          <cell r="B304" t="str">
            <v>WAS 25 30 600X1200 PL/24 10</v>
          </cell>
          <cell r="C304" t="str">
            <v>PAROC WAS 25 Wall Slab</v>
          </cell>
          <cell r="D304" t="str">
            <v>Wall slabs &amp; boards</v>
          </cell>
          <cell r="E304">
            <v>172.8</v>
          </cell>
          <cell r="F304">
            <v>5.18</v>
          </cell>
          <cell r="G304" t="str">
            <v>m2</v>
          </cell>
          <cell r="H304">
            <v>4</v>
          </cell>
          <cell r="I304" t="str">
            <v>30 600X1200 PL/24 10</v>
          </cell>
          <cell r="J304" t="str">
            <v>PL/24 10</v>
          </cell>
          <cell r="K304" t="str">
            <v>HD</v>
          </cell>
          <cell r="L304">
            <v>30</v>
          </cell>
          <cell r="M304">
            <v>600</v>
          </cell>
          <cell r="N304">
            <v>1200</v>
          </cell>
          <cell r="O304">
            <v>24</v>
          </cell>
          <cell r="P304">
            <v>10</v>
          </cell>
          <cell r="Q304">
            <v>414.4</v>
          </cell>
        </row>
        <row r="305">
          <cell r="A305">
            <v>8540908</v>
          </cell>
          <cell r="B305" t="str">
            <v>WAS 35tb 120 600X1200 PL/18 3</v>
          </cell>
          <cell r="C305" t="str">
            <v>PAROC WAS 35tb Wall Slab</v>
          </cell>
          <cell r="D305" t="str">
            <v>Wall slabs &amp; boards</v>
          </cell>
          <cell r="E305">
            <v>38.880000000000003</v>
          </cell>
          <cell r="F305">
            <v>4.67</v>
          </cell>
          <cell r="G305" t="str">
            <v>m2</v>
          </cell>
          <cell r="H305">
            <v>4</v>
          </cell>
          <cell r="I305" t="str">
            <v>120 600X1200 PL/18 3</v>
          </cell>
          <cell r="J305" t="str">
            <v>PL/18 3</v>
          </cell>
          <cell r="K305" t="str">
            <v>HD</v>
          </cell>
          <cell r="L305">
            <v>120</v>
          </cell>
          <cell r="M305">
            <v>600</v>
          </cell>
          <cell r="N305">
            <v>1200</v>
          </cell>
          <cell r="O305">
            <v>18</v>
          </cell>
          <cell r="P305">
            <v>3</v>
          </cell>
          <cell r="Q305">
            <v>326.89999999999998</v>
          </cell>
        </row>
        <row r="306">
          <cell r="A306">
            <v>8553251</v>
          </cell>
          <cell r="B306" t="str">
            <v>WAS 35 200 600X1200 PL/18 2</v>
          </cell>
          <cell r="C306" t="str">
            <v>PAROC WAS 35 Wall Slab</v>
          </cell>
          <cell r="D306" t="str">
            <v>Wall slabs &amp; boards</v>
          </cell>
          <cell r="E306">
            <v>25.92</v>
          </cell>
          <cell r="F306">
            <v>5.18</v>
          </cell>
          <cell r="G306" t="str">
            <v>m2</v>
          </cell>
          <cell r="H306">
            <v>4</v>
          </cell>
          <cell r="I306" t="str">
            <v>200 600X1200 PL/18 2</v>
          </cell>
          <cell r="J306" t="str">
            <v>PL/18 2</v>
          </cell>
          <cell r="K306" t="str">
            <v>HD</v>
          </cell>
          <cell r="L306">
            <v>200</v>
          </cell>
          <cell r="M306">
            <v>600</v>
          </cell>
          <cell r="N306">
            <v>1200</v>
          </cell>
          <cell r="O306">
            <v>18</v>
          </cell>
          <cell r="P306">
            <v>2</v>
          </cell>
          <cell r="Q306">
            <v>362.59999999999997</v>
          </cell>
        </row>
        <row r="307">
          <cell r="A307">
            <v>8568775</v>
          </cell>
          <cell r="B307" t="str">
            <v>Fatio 40 600X1200 PL/21 8</v>
          </cell>
          <cell r="C307" t="str">
            <v>PAROC Fatio Rendered Facade Slab</v>
          </cell>
          <cell r="D307" t="str">
            <v>Rendered facades</v>
          </cell>
          <cell r="E307">
            <v>120.96</v>
          </cell>
          <cell r="F307">
            <v>4.84</v>
          </cell>
          <cell r="G307" t="str">
            <v>m2</v>
          </cell>
          <cell r="H307">
            <v>4</v>
          </cell>
          <cell r="I307" t="str">
            <v>40 600X1200 PL/21 8</v>
          </cell>
          <cell r="J307" t="str">
            <v>PL/21 8</v>
          </cell>
          <cell r="K307" t="str">
            <v>HD</v>
          </cell>
          <cell r="L307">
            <v>40</v>
          </cell>
          <cell r="M307">
            <v>600</v>
          </cell>
          <cell r="N307">
            <v>1200</v>
          </cell>
          <cell r="O307">
            <v>21</v>
          </cell>
          <cell r="P307">
            <v>8</v>
          </cell>
          <cell r="Q307">
            <v>338.8</v>
          </cell>
        </row>
        <row r="308">
          <cell r="A308">
            <v>8569454</v>
          </cell>
          <cell r="B308" t="str">
            <v>ROL 60 130 200X1480 PL/96</v>
          </cell>
          <cell r="C308" t="str">
            <v>PAROC ROL 60 Roof Lamella</v>
          </cell>
          <cell r="D308" t="str">
            <v>Roof - Combination pallets</v>
          </cell>
          <cell r="E308">
            <v>28.41</v>
          </cell>
          <cell r="F308">
            <v>3.69</v>
          </cell>
          <cell r="G308" t="str">
            <v>m2</v>
          </cell>
          <cell r="H308">
            <v>4</v>
          </cell>
          <cell r="I308" t="str">
            <v>130 200X1480 PL/96</v>
          </cell>
          <cell r="J308" t="str">
            <v>PL/96</v>
          </cell>
          <cell r="K308" t="str">
            <v>HD</v>
          </cell>
          <cell r="L308">
            <v>130</v>
          </cell>
          <cell r="M308">
            <v>200</v>
          </cell>
          <cell r="N308">
            <v>1480</v>
          </cell>
          <cell r="O308">
            <v>96</v>
          </cell>
          <cell r="Q308">
            <v>295.2</v>
          </cell>
        </row>
        <row r="309">
          <cell r="A309">
            <v>8541320</v>
          </cell>
          <cell r="B309" t="str">
            <v>WAS 50t 100 600X1200 BP/16 5</v>
          </cell>
          <cell r="C309" t="str">
            <v>PAROC WAS 50t Wall Slab</v>
          </cell>
          <cell r="D309" t="str">
            <v>Wall slabs &amp; boards</v>
          </cell>
          <cell r="E309">
            <v>57.6</v>
          </cell>
          <cell r="F309">
            <v>5.76</v>
          </cell>
          <cell r="G309" t="str">
            <v>m2</v>
          </cell>
          <cell r="H309">
            <v>4008</v>
          </cell>
          <cell r="I309" t="str">
            <v>100 600X1200 BP/16 5</v>
          </cell>
          <cell r="J309" t="str">
            <v>BP/16 5</v>
          </cell>
          <cell r="K309" t="str">
            <v>HD</v>
          </cell>
          <cell r="L309">
            <v>100</v>
          </cell>
          <cell r="M309">
            <v>600</v>
          </cell>
          <cell r="N309">
            <v>1200</v>
          </cell>
          <cell r="O309">
            <v>16</v>
          </cell>
          <cell r="P309">
            <v>5</v>
          </cell>
          <cell r="Q309">
            <v>259.2</v>
          </cell>
        </row>
        <row r="310">
          <cell r="A310">
            <v>8532308</v>
          </cell>
          <cell r="B310" t="str">
            <v>WAS 50 75 600X1200 PL/18 5</v>
          </cell>
          <cell r="C310" t="str">
            <v>PAROC WAS 50 Wall Slab</v>
          </cell>
          <cell r="D310" t="str">
            <v>Wall slabs &amp; boards</v>
          </cell>
          <cell r="E310">
            <v>64.8</v>
          </cell>
          <cell r="F310">
            <v>4.8600000000000003</v>
          </cell>
          <cell r="G310" t="str">
            <v>m2</v>
          </cell>
          <cell r="H310">
            <v>4008</v>
          </cell>
          <cell r="I310" t="str">
            <v>75 600X1200 PL/18 5</v>
          </cell>
          <cell r="J310" t="str">
            <v>PL/18 5</v>
          </cell>
          <cell r="K310" t="str">
            <v>HD</v>
          </cell>
          <cell r="L310">
            <v>75</v>
          </cell>
          <cell r="M310">
            <v>600</v>
          </cell>
          <cell r="N310">
            <v>1200</v>
          </cell>
          <cell r="O310">
            <v>18</v>
          </cell>
          <cell r="P310">
            <v>5</v>
          </cell>
          <cell r="Q310">
            <v>218.70000000000002</v>
          </cell>
        </row>
        <row r="311">
          <cell r="A311">
            <v>8570022</v>
          </cell>
          <cell r="B311" t="str">
            <v>WAS 25tb 90 600X1200 PL/18 4</v>
          </cell>
          <cell r="C311" t="str">
            <v>PAROC WAS 25tb Wall Slab</v>
          </cell>
          <cell r="D311" t="str">
            <v>Wall slabs &amp; boards</v>
          </cell>
          <cell r="E311">
            <v>51.84</v>
          </cell>
          <cell r="F311">
            <v>4.67</v>
          </cell>
          <cell r="G311" t="str">
            <v>m2</v>
          </cell>
          <cell r="H311">
            <v>4008</v>
          </cell>
          <cell r="I311" t="str">
            <v>90 600X1200 PL/18 4</v>
          </cell>
          <cell r="J311" t="str">
            <v>PL/18 4</v>
          </cell>
          <cell r="K311" t="str">
            <v>HD</v>
          </cell>
          <cell r="L311">
            <v>90</v>
          </cell>
          <cell r="M311">
            <v>600</v>
          </cell>
          <cell r="N311">
            <v>1200</v>
          </cell>
          <cell r="O311">
            <v>18</v>
          </cell>
          <cell r="P311">
            <v>4</v>
          </cell>
          <cell r="Q311">
            <v>373.6</v>
          </cell>
        </row>
        <row r="312">
          <cell r="A312">
            <v>8570013</v>
          </cell>
          <cell r="B312" t="str">
            <v>Linio 10 250 600X1200 PL/27 1</v>
          </cell>
          <cell r="C312" t="str">
            <v>PAROC Linio 10 Rendered Facade Slab</v>
          </cell>
          <cell r="D312" t="str">
            <v>Rendered facades</v>
          </cell>
          <cell r="E312">
            <v>19.440000000000001</v>
          </cell>
          <cell r="F312">
            <v>4.8600000000000003</v>
          </cell>
          <cell r="G312" t="str">
            <v>m2</v>
          </cell>
          <cell r="H312">
            <v>4008</v>
          </cell>
          <cell r="I312" t="str">
            <v>250 600X1200 PL/27 1</v>
          </cell>
          <cell r="J312" t="str">
            <v>PL/27 1</v>
          </cell>
          <cell r="K312" t="str">
            <v>HD</v>
          </cell>
          <cell r="L312">
            <v>250</v>
          </cell>
          <cell r="M312">
            <v>600</v>
          </cell>
          <cell r="N312">
            <v>1200</v>
          </cell>
          <cell r="O312">
            <v>27</v>
          </cell>
          <cell r="P312">
            <v>1</v>
          </cell>
          <cell r="Q312">
            <v>374.22</v>
          </cell>
        </row>
        <row r="313">
          <cell r="A313">
            <v>8531646</v>
          </cell>
          <cell r="B313" t="str">
            <v>WAS 35 180 600X1200 PL/18 2</v>
          </cell>
          <cell r="C313" t="str">
            <v>PAROC WAS 35 Wall Slab</v>
          </cell>
          <cell r="D313" t="str">
            <v>Wall slabs &amp; boards</v>
          </cell>
          <cell r="E313">
            <v>25.92</v>
          </cell>
          <cell r="F313">
            <v>4.67</v>
          </cell>
          <cell r="G313" t="str">
            <v>m2</v>
          </cell>
          <cell r="H313">
            <v>4008</v>
          </cell>
          <cell r="I313" t="str">
            <v>180 600X1200 PL/18 2</v>
          </cell>
          <cell r="J313" t="str">
            <v>PL/18 2</v>
          </cell>
          <cell r="K313" t="str">
            <v>HD</v>
          </cell>
          <cell r="L313">
            <v>180</v>
          </cell>
          <cell r="M313">
            <v>600</v>
          </cell>
          <cell r="N313">
            <v>1200</v>
          </cell>
          <cell r="O313">
            <v>18</v>
          </cell>
          <cell r="P313">
            <v>2</v>
          </cell>
          <cell r="Q313">
            <v>326.89999999999998</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revisions/_rels/revisionHeaders.xml.rels><?xml version="1.0" encoding="UTF-8" standalone="yes"?>
<Relationships xmlns="http://schemas.openxmlformats.org/package/2006/relationships"><Relationship Id="rId109" Type="http://schemas.openxmlformats.org/officeDocument/2006/relationships/revisionLog" Target="revisionLog11.xml"/><Relationship Id="rId117" Type="http://schemas.openxmlformats.org/officeDocument/2006/relationships/revisionLog" Target="revisionLog12.xml"/><Relationship Id="rId104" Type="http://schemas.openxmlformats.org/officeDocument/2006/relationships/revisionLog" Target="revisionLog110.xml"/><Relationship Id="rId120" Type="http://schemas.openxmlformats.org/officeDocument/2006/relationships/revisionLog" Target="revisionLog112.xml"/><Relationship Id="rId112" Type="http://schemas.openxmlformats.org/officeDocument/2006/relationships/revisionLog" Target="revisionLog111.xml"/><Relationship Id="rId97" Type="http://schemas.openxmlformats.org/officeDocument/2006/relationships/revisionLog" Target="revisionLog19.xml"/><Relationship Id="rId89" Type="http://schemas.openxmlformats.org/officeDocument/2006/relationships/revisionLog" Target="revisionLog13.xml"/><Relationship Id="rId84" Type="http://schemas.openxmlformats.org/officeDocument/2006/relationships/revisionLog" Target="revisionLog122.xml"/><Relationship Id="rId68" Type="http://schemas.openxmlformats.org/officeDocument/2006/relationships/revisionLog" Target="revisionLog17.xml"/><Relationship Id="rId76" Type="http://schemas.openxmlformats.org/officeDocument/2006/relationships/revisionLog" Target="revisionLog18.xml"/><Relationship Id="rId125" Type="http://schemas.openxmlformats.org/officeDocument/2006/relationships/revisionLog" Target="revisionLog14.xml"/><Relationship Id="rId133" Type="http://schemas.openxmlformats.org/officeDocument/2006/relationships/revisionLog" Target="revisionLog15.xml"/><Relationship Id="rId138" Type="http://schemas.openxmlformats.org/officeDocument/2006/relationships/revisionLog" Target="revisionLog16.xml"/><Relationship Id="rId141" Type="http://schemas.openxmlformats.org/officeDocument/2006/relationships/revisionLog" Target="revisionLog113.xml"/><Relationship Id="rId146" Type="http://schemas.openxmlformats.org/officeDocument/2006/relationships/revisionLog" Target="revisionLog114.xml"/><Relationship Id="rId154" Type="http://schemas.openxmlformats.org/officeDocument/2006/relationships/revisionLog" Target="revisionLog115.xml"/><Relationship Id="rId159" Type="http://schemas.openxmlformats.org/officeDocument/2006/relationships/revisionLog" Target="revisionLog1.xml"/><Relationship Id="rId71" Type="http://schemas.openxmlformats.org/officeDocument/2006/relationships/revisionLog" Target="revisionLog181.xml"/><Relationship Id="rId92" Type="http://schemas.openxmlformats.org/officeDocument/2006/relationships/revisionLog" Target="revisionLog191.xml"/><Relationship Id="rId107" Type="http://schemas.openxmlformats.org/officeDocument/2006/relationships/revisionLog" Target="revisionLog1111.xml"/><Relationship Id="rId102" Type="http://schemas.openxmlformats.org/officeDocument/2006/relationships/revisionLog" Target="revisionLog1101.xml"/><Relationship Id="rId87" Type="http://schemas.openxmlformats.org/officeDocument/2006/relationships/revisionLog" Target="revisionLog1321.xml"/><Relationship Id="rId79" Type="http://schemas.openxmlformats.org/officeDocument/2006/relationships/revisionLog" Target="revisionLog1221.xml"/><Relationship Id="rId115" Type="http://schemas.openxmlformats.org/officeDocument/2006/relationships/revisionLog" Target="revisionLog1131.xml"/><Relationship Id="rId123" Type="http://schemas.openxmlformats.org/officeDocument/2006/relationships/revisionLog" Target="revisionLog1411.xml"/><Relationship Id="rId110" Type="http://schemas.openxmlformats.org/officeDocument/2006/relationships/revisionLog" Target="revisionLog1121.xml"/><Relationship Id="rId74" Type="http://schemas.openxmlformats.org/officeDocument/2006/relationships/revisionLog" Target="revisionLog19111.xml"/><Relationship Id="rId128" Type="http://schemas.openxmlformats.org/officeDocument/2006/relationships/revisionLog" Target="revisionLog151.xml"/><Relationship Id="rId131" Type="http://schemas.openxmlformats.org/officeDocument/2006/relationships/revisionLog" Target="revisionLog161.xml"/><Relationship Id="rId136" Type="http://schemas.openxmlformats.org/officeDocument/2006/relationships/revisionLog" Target="revisionLog1141.xml"/><Relationship Id="rId144" Type="http://schemas.openxmlformats.org/officeDocument/2006/relationships/revisionLog" Target="revisionLog1151.xml"/><Relationship Id="rId149" Type="http://schemas.openxmlformats.org/officeDocument/2006/relationships/revisionLog" Target="revisionLog116.xml"/><Relationship Id="rId157" Type="http://schemas.openxmlformats.org/officeDocument/2006/relationships/revisionLog" Target="revisionLog117.xml"/><Relationship Id="rId82" Type="http://schemas.openxmlformats.org/officeDocument/2006/relationships/revisionLog" Target="revisionLog13211.xml"/><Relationship Id="rId90" Type="http://schemas.openxmlformats.org/officeDocument/2006/relationships/revisionLog" Target="revisionLog11011.xml"/><Relationship Id="rId95" Type="http://schemas.openxmlformats.org/officeDocument/2006/relationships/revisionLog" Target="revisionLog11211.xml"/><Relationship Id="rId152" Type="http://schemas.openxmlformats.org/officeDocument/2006/relationships/revisionLog" Target="revisionLog1171.xml"/><Relationship Id="rId105" Type="http://schemas.openxmlformats.org/officeDocument/2006/relationships/revisionLog" Target="revisionLog113111.xml"/><Relationship Id="rId118" Type="http://schemas.openxmlformats.org/officeDocument/2006/relationships/revisionLog" Target="revisionLog11511.xml"/><Relationship Id="rId113" Type="http://schemas.openxmlformats.org/officeDocument/2006/relationships/revisionLog" Target="revisionLog114111.xml"/><Relationship Id="rId100" Type="http://schemas.openxmlformats.org/officeDocument/2006/relationships/revisionLog" Target="revisionLog11221.xml"/><Relationship Id="rId77" Type="http://schemas.openxmlformats.org/officeDocument/2006/relationships/revisionLog" Target="revisionLog1101111.xml"/><Relationship Id="rId69" Type="http://schemas.openxmlformats.org/officeDocument/2006/relationships/revisionLog" Target="revisionLog1911111.xml"/><Relationship Id="rId126" Type="http://schemas.openxmlformats.org/officeDocument/2006/relationships/revisionLog" Target="revisionLog15111.xml"/><Relationship Id="rId134" Type="http://schemas.openxmlformats.org/officeDocument/2006/relationships/revisionLog" Target="revisionLog11611.xml"/><Relationship Id="rId139" Type="http://schemas.openxmlformats.org/officeDocument/2006/relationships/revisionLog" Target="revisionLog11711.xml"/><Relationship Id="rId147" Type="http://schemas.openxmlformats.org/officeDocument/2006/relationships/revisionLog" Target="revisionLog118.xml"/><Relationship Id="rId121" Type="http://schemas.openxmlformats.org/officeDocument/2006/relationships/revisionLog" Target="revisionLog116111.xml"/><Relationship Id="rId72" Type="http://schemas.openxmlformats.org/officeDocument/2006/relationships/revisionLog" Target="revisionLog1321111.xml"/><Relationship Id="rId80" Type="http://schemas.openxmlformats.org/officeDocument/2006/relationships/revisionLog" Target="revisionLog11211111.xml"/><Relationship Id="rId85" Type="http://schemas.openxmlformats.org/officeDocument/2006/relationships/revisionLog" Target="revisionLog1131111.xml"/><Relationship Id="rId93" Type="http://schemas.openxmlformats.org/officeDocument/2006/relationships/revisionLog" Target="revisionLog1141111.xml"/><Relationship Id="rId98" Type="http://schemas.openxmlformats.org/officeDocument/2006/relationships/revisionLog" Target="revisionLog11021.xml"/><Relationship Id="rId142" Type="http://schemas.openxmlformats.org/officeDocument/2006/relationships/revisionLog" Target="revisionLog119.xml"/><Relationship Id="rId150" Type="http://schemas.openxmlformats.org/officeDocument/2006/relationships/revisionLog" Target="revisionLog120.xml"/><Relationship Id="rId155" Type="http://schemas.openxmlformats.org/officeDocument/2006/relationships/revisionLog" Target="revisionLog121.xml"/><Relationship Id="rId103" Type="http://schemas.openxmlformats.org/officeDocument/2006/relationships/revisionLog" Target="revisionLog115111.xml"/><Relationship Id="rId67" Type="http://schemas.openxmlformats.org/officeDocument/2006/relationships/revisionLog" Target="revisionLog171.xml"/><Relationship Id="rId116" Type="http://schemas.openxmlformats.org/officeDocument/2006/relationships/revisionLog" Target="revisionLog117111.xml"/><Relationship Id="rId124" Type="http://schemas.openxmlformats.org/officeDocument/2006/relationships/revisionLog" Target="revisionLog141.xml"/><Relationship Id="rId108" Type="http://schemas.openxmlformats.org/officeDocument/2006/relationships/revisionLog" Target="revisionLog1161111.xml"/><Relationship Id="rId129" Type="http://schemas.openxmlformats.org/officeDocument/2006/relationships/revisionLog" Target="revisionLog16111.xml"/><Relationship Id="rId137" Type="http://schemas.openxmlformats.org/officeDocument/2006/relationships/revisionLog" Target="revisionLog1191.xml"/><Relationship Id="rId158" Type="http://schemas.openxmlformats.org/officeDocument/2006/relationships/revisionLog" Target="revisionLog123.xml"/><Relationship Id="rId111" Type="http://schemas.openxmlformats.org/officeDocument/2006/relationships/revisionLog" Target="revisionLog1171111.xml"/><Relationship Id="rId96" Type="http://schemas.openxmlformats.org/officeDocument/2006/relationships/revisionLog" Target="revisionLog112211.xml"/><Relationship Id="rId91" Type="http://schemas.openxmlformats.org/officeDocument/2006/relationships/revisionLog" Target="revisionLog110211.xml"/><Relationship Id="rId70" Type="http://schemas.openxmlformats.org/officeDocument/2006/relationships/revisionLog" Target="revisionLog1811.xml"/><Relationship Id="rId75" Type="http://schemas.openxmlformats.org/officeDocument/2006/relationships/revisionLog" Target="revisionLog1911.xml"/><Relationship Id="rId83" Type="http://schemas.openxmlformats.org/officeDocument/2006/relationships/revisionLog" Target="revisionLog1222.xml"/><Relationship Id="rId88" Type="http://schemas.openxmlformats.org/officeDocument/2006/relationships/revisionLog" Target="revisionLog132.xml"/><Relationship Id="rId132" Type="http://schemas.openxmlformats.org/officeDocument/2006/relationships/revisionLog" Target="revisionLog152.xml"/><Relationship Id="rId140" Type="http://schemas.openxmlformats.org/officeDocument/2006/relationships/revisionLog" Target="revisionLog1201.xml"/><Relationship Id="rId145" Type="http://schemas.openxmlformats.org/officeDocument/2006/relationships/revisionLog" Target="revisionLog1181.xml"/><Relationship Id="rId153" Type="http://schemas.openxmlformats.org/officeDocument/2006/relationships/revisionLog" Target="revisionLog1211.xml"/><Relationship Id="rId114" Type="http://schemas.openxmlformats.org/officeDocument/2006/relationships/revisionLog" Target="revisionLog11311.xml"/><Relationship Id="rId106" Type="http://schemas.openxmlformats.org/officeDocument/2006/relationships/revisionLog" Target="revisionLog11111.xml"/><Relationship Id="rId119" Type="http://schemas.openxmlformats.org/officeDocument/2006/relationships/revisionLog" Target="revisionLog11811.xml"/><Relationship Id="rId127" Type="http://schemas.openxmlformats.org/officeDocument/2006/relationships/revisionLog" Target="revisionLog1511.xml"/><Relationship Id="rId94" Type="http://schemas.openxmlformats.org/officeDocument/2006/relationships/revisionLog" Target="revisionLog112111.xml"/><Relationship Id="rId122" Type="http://schemas.openxmlformats.org/officeDocument/2006/relationships/revisionLog" Target="revisionLog11411.xml"/><Relationship Id="rId101" Type="http://schemas.openxmlformats.org/officeDocument/2006/relationships/revisionLog" Target="revisionLog1122.xml"/><Relationship Id="rId99" Type="http://schemas.openxmlformats.org/officeDocument/2006/relationships/revisionLog" Target="revisionLog1102.xml"/><Relationship Id="rId86" Type="http://schemas.openxmlformats.org/officeDocument/2006/relationships/revisionLog" Target="revisionLog1121111.xml"/><Relationship Id="rId73" Type="http://schemas.openxmlformats.org/officeDocument/2006/relationships/revisionLog" Target="revisionLog191111.xml"/><Relationship Id="rId78" Type="http://schemas.openxmlformats.org/officeDocument/2006/relationships/revisionLog" Target="revisionLog110111.xml"/><Relationship Id="rId81" Type="http://schemas.openxmlformats.org/officeDocument/2006/relationships/revisionLog" Target="revisionLog132111.xml"/><Relationship Id="rId130" Type="http://schemas.openxmlformats.org/officeDocument/2006/relationships/revisionLog" Target="revisionLog1611.xml"/><Relationship Id="rId135" Type="http://schemas.openxmlformats.org/officeDocument/2006/relationships/revisionLog" Target="revisionLog11512.xml"/><Relationship Id="rId143" Type="http://schemas.openxmlformats.org/officeDocument/2006/relationships/revisionLog" Target="revisionLog1161.xml"/><Relationship Id="rId148" Type="http://schemas.openxmlformats.org/officeDocument/2006/relationships/revisionLog" Target="revisionLog1172.xml"/><Relationship Id="rId151" Type="http://schemas.openxmlformats.org/officeDocument/2006/relationships/revisionLog" Target="revisionLog12111.xml"/><Relationship Id="rId156" Type="http://schemas.openxmlformats.org/officeDocument/2006/relationships/revisionLog" Target="revisionLog1231.xml"/></Relationships>
</file>

<file path=xl/revisions/revisionHeaders.xml><?xml version="1.0" encoding="utf-8"?>
<headers xmlns="http://schemas.openxmlformats.org/spreadsheetml/2006/main" xmlns:r="http://schemas.openxmlformats.org/officeDocument/2006/relationships" guid="{77C41D13-E8C1-4B73-BEAA-1345427B9720}" diskRevisions="1" revisionId="14510" version="136">
  <header guid="{7D2935A9-0522-48F8-BECD-7EF322356F71}" dateTime="2019-03-22T14:47:49" maxSheetId="24" userName="Пользователь" r:id="rId67">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A09953AC-DC2A-4013-AC9A-26DB82AB6A19}" dateTime="2019-03-26T16:57:49" maxSheetId="25" userName="Пользователь" r:id="rId68" minRId="6034" maxRId="6289">
    <sheetIdMap count="2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Map>
  </header>
  <header guid="{88591C6A-E7EB-4CB7-98EA-E86F2275CC99}" dateTime="2019-03-26T17:07:24" maxSheetId="26" userName="Пользователь" r:id="rId69" minRId="6326" maxRId="6905">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4CA3DB46-3987-4E39-8A8D-6BCC057D4B72}" dateTime="2019-03-27T08:50:59" maxSheetId="26" userName="Пользователь" r:id="rId70" minRId="6942" maxRId="6980">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55A5A272-2C39-43EB-AF39-DFB3A615A044}" dateTime="2019-03-27T16:50:46" maxSheetId="26" userName="Пользователь" r:id="rId71" minRId="6981" maxRId="6982">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7CF4A9C3-734E-4232-ADBA-A35EB29209C6}" dateTime="2019-03-28T11:51:42" maxSheetId="26" userName="Пользователь" r:id="rId72">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C8DA467B-1C1F-410E-8CEA-683D0E18AF12}" dateTime="2019-03-28T11:58:17" maxSheetId="26" userName="Пользователь" r:id="rId73" minRId="7055" maxRId="7056">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54AF83BA-F9C7-42D4-9BB2-74C4CC3DBE55}" dateTime="2019-03-28T12:00:37" maxSheetId="26" userName="Пользователь" r:id="rId74" minRId="7093" maxRId="7094">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BA5AA2C3-AD40-4370-A412-6532980AB763}" dateTime="2019-03-28T12:01:26" maxSheetId="26" userName="Пользователь" r:id="rId75" minRId="7131">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2D1542B3-07FD-4C96-A305-5BE013A2C259}" dateTime="2019-03-28T12:01:52" maxSheetId="26" userName="Пользователь" r:id="rId76" minRId="7168">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F5491256-CE32-434A-96BD-B93F2560AAD6}" dateTime="2019-03-28T12:02:21" maxSheetId="26" userName="Пользователь" r:id="rId77">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C78DFFF1-01B5-4E5E-9631-A2D1CC1817C2}" dateTime="2019-03-28T12:08:05" maxSheetId="27" userName="Пользователь" r:id="rId78" minRId="7241" maxRId="7420">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E8424AD4-7A30-41E8-957D-31094F20C5CE}" dateTime="2019-03-28T12:08:07" maxSheetId="27" userName="Пользователь" r:id="rId79">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95C2E8A6-AA83-49CE-AD5C-FA84609BF6CE}" dateTime="2019-03-28T12:08:09" maxSheetId="27" userName="Пользователь" r:id="rId80">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FBE47D46-A0CB-4DA1-B8A2-4C02CDFCD12C}" dateTime="2019-03-28T12:08:12" maxSheetId="27" userName="Пользователь" r:id="rId81">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37257DDA-7DAD-407F-8A13-787BF0F04F4E}" dateTime="2019-03-28T12:08:14" maxSheetId="27" userName="Пользователь" r:id="rId82">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06C918A0-2706-452E-9DAE-1AD77666C661}" dateTime="2019-03-28T12:08:17" maxSheetId="27" userName="Пользователь" r:id="rId83">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CBA10502-E54C-4D6D-8A27-6A090C9356F0}" dateTime="2019-03-28T12:08:19" maxSheetId="27" userName="Пользователь" r:id="rId84">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109EA35A-691A-43A2-8B7A-63645852E377}" dateTime="2019-03-28T12:08:21" maxSheetId="27" userName="Пользователь" r:id="rId85">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6C9BEE16-7371-437F-AD18-FEAC5A34196B}" dateTime="2019-03-28T12:58:12" maxSheetId="28" userName="Пользователь" r:id="rId86" minRId="7709" maxRId="7743">
    <sheetIdMap count="27">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Map>
  </header>
  <header guid="{7F275FB9-DB39-44D1-82DA-E22541D5C4E0}" dateTime="2019-03-28T13:09:09" maxSheetId="29" userName="Пользователь" r:id="rId87" minRId="7780" maxRId="7978">
    <sheetIdMap count="28">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Map>
  </header>
  <header guid="{B550D2C2-A4F9-489F-B75F-5A6CC71036AA}" dateTime="2019-03-28T13:12:12" maxSheetId="30" userName="Пользователь" r:id="rId88" minRId="8015" maxRId="8156">
    <sheetIdMap count="29">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Map>
  </header>
  <header guid="{3CA635D4-4815-4AA4-BD8C-11A5FDA0EC00}" dateTime="2019-03-28T13:26:31" maxSheetId="31" userName="Пользователь" r:id="rId89" minRId="8193" maxRId="8378">
    <sheetIdMap count="30">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Map>
  </header>
  <header guid="{56AE3C49-B375-4951-93DC-AC26964D5C73}" dateTime="2019-03-28T13:26:56" maxSheetId="31" userName="Пользователь" r:id="rId90">
    <sheetIdMap count="30">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Map>
  </header>
  <header guid="{5E515F1F-0A3C-49CA-8FAB-EF1223EA49D6}" dateTime="2019-03-28T13:26:59" maxSheetId="31" userName="Пользователь" r:id="rId91">
    <sheetIdMap count="30">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Map>
  </header>
  <header guid="{5B6C3BF9-0B60-476F-B044-8079C6497D58}" dateTime="2019-03-28T14:20:49" maxSheetId="32" userName="Пользователь" r:id="rId92" minRId="8487" maxRId="8928">
    <sheetIdMap count="31">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Map>
  </header>
  <header guid="{F2613EBA-EB96-4C83-A540-3971EB7C9851}" dateTime="2019-03-28T14:27:24" maxSheetId="32" userName="Пользователь" r:id="rId93">
    <sheetIdMap count="31">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Map>
  </header>
  <header guid="{682605EF-A370-4EF7-8E90-CF050974A669}" dateTime="2019-03-28T15:00:13" maxSheetId="33" userName="Пользователь" r:id="rId94" minRId="9001" maxRId="9248">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5423D344-6819-490C-BEA9-20B3E2909CAD}" dateTime="2019-03-29T11:29:01" maxSheetId="33" userName="Пользователь" r:id="rId95" minRId="9285" maxRId="9424">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E5A8A51D-9B85-4134-8A53-D115E5C4F0E6}" dateTime="2019-03-29T11:29:04" maxSheetId="33" userName="Пользователь" r:id="rId96">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9AEE18CE-3737-4202-9669-B9E4A2443DE8}" dateTime="2019-03-29T11:29:07" maxSheetId="33" userName="Пользователь" r:id="rId97">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6E161EA2-6BD7-46CC-8455-C56526AB9570}" dateTime="2019-03-29T11:29:55" maxSheetId="33" userName="Пользователь" r:id="rId98">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CF3E4836-519F-4ABF-9153-B582444D323F}" dateTime="2019-03-29T11:30:00" maxSheetId="33" userName="Пользователь" r:id="rId99">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70C90B5D-801F-4315-889F-C47E2A67F3F1}" dateTime="2019-03-29T18:02:01" maxSheetId="33" userName="Иван" r:id="rId100" minRId="9641">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36182F4A-03AF-4AC6-AF21-86B940528041}" dateTime="2019-04-01T08:31:02" maxSheetId="33" userName="Пользователь" r:id="rId101" minRId="9678">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E6D0716C-B4AE-4E4F-A692-241C13A3C9B4}" dateTime="2019-04-02T11:00:46" maxSheetId="34" userName="Пользователь" r:id="rId102" minRId="9679" maxRId="9844">
    <sheetIdMap count="3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Map>
  </header>
  <header guid="{66F5C4AF-2C52-4864-A73E-8DEC9FEADB6B}" dateTime="2019-04-02T11:00:50" maxSheetId="34" userName="Пользователь" r:id="rId103">
    <sheetIdMap count="3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Map>
  </header>
  <header guid="{A150565D-2AF1-46DC-B477-A90ADDE206B6}" dateTime="2019-04-02T11:01:15" maxSheetId="34" userName="Пользователь" r:id="rId104" minRId="9956">
    <sheetIdMap count="3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Map>
  </header>
  <header guid="{79AE52E2-BF92-4A0F-8EA4-84578C8AAC41}" dateTime="2019-04-02T11:47:04" maxSheetId="35" userName="Пользователь" r:id="rId105" minRId="9957" maxRId="10033">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8711EC1C-C799-4EF1-BD71-AC0B1EB20858}" dateTime="2019-04-09T15:26:08" maxSheetId="35" userName="Пользователь" r:id="rId106">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69BBDC76-3102-483F-B3FE-56EC914E2813}" dateTime="2019-04-09T16:12:58" maxSheetId="35" userName="Пользователь" r:id="rId107">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4E47EB2F-3FC1-41B7-8AD2-3280AECFCF60}" dateTime="2019-04-09T17:15:21" maxSheetId="35" userName="user" r:id="rId108" minRId="10145">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6756F7F5-4FB3-4689-B836-150505C4AA6D}" dateTime="2019-04-09T17:16:58" maxSheetId="35" userName="user" r:id="rId109" minRId="10184">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4A56C28E-CED2-4B93-9B55-3C8945057750}" dateTime="2019-04-10T11:04:08" maxSheetId="35" userName="user" r:id="rId110" minRId="10223" maxRId="10225">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59B17453-9576-4DF2-8D3D-DB37B9E71C82}" dateTime="2019-04-10T11:04:19" maxSheetId="35" userName="user" r:id="rId111" minRId="10264">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6F250BEF-D7A3-4D36-978C-0E6BD032FDB7}" dateTime="2019-04-10T11:46:06" maxSheetId="35" userName="user" r:id="rId112" minRId="10303">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E5AD5A57-DC5D-43D0-89A2-51469545D587}" dateTime="2019-04-10T11:46:27" maxSheetId="35" userName="user" r:id="rId113" minRId="10342">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1A0B52E3-557D-4B6A-B198-97CCE38B280D}" dateTime="2019-04-10T12:12:18" maxSheetId="35" userName="user" r:id="rId114" minRId="10381">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2DD97996-356D-429D-8E92-0CF7C6409841}" dateTime="2019-04-10T21:05:07" maxSheetId="35" userName="Иван" r:id="rId115">
    <sheetIdMap count="3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Map>
  </header>
  <header guid="{55C0A098-B80D-4055-8D9D-83ACC6FAA4E4}" dateTime="2019-04-11T09:00:40" maxSheetId="36" userName="Пользователь" r:id="rId116" minRId="10457" maxRId="10651">
    <sheetIdMap count="3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Map>
  </header>
  <header guid="{EF7AEF2E-539E-4194-8158-F22783B3964D}" dateTime="2019-04-11T09:07:40" maxSheetId="37" userName="Пользователь" r:id="rId117" minRId="10691" maxRId="10733">
    <sheetIdMap count="3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Map>
  </header>
  <header guid="{923202C5-80F7-4D6C-AAD9-0BBA0CC9CA03}" dateTime="2019-04-11T09:08:39" maxSheetId="38" userName="Пользователь" r:id="rId118" minRId="10773" maxRId="10806">
    <sheetIdMap count="37">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Map>
  </header>
  <header guid="{54290C62-8885-4D6D-AEE3-13ADEBA2FDA7}" dateTime="2019-04-11T09:10:18" maxSheetId="38" userName="Пользователь" r:id="rId119" minRId="10846" maxRId="10848">
    <sheetIdMap count="37">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Map>
  </header>
  <header guid="{9A07D8B5-B61B-477C-B872-664DF31C86E9}" dateTime="2019-04-11T09:35:09" maxSheetId="41" userName="Пользователь" r:id="rId120" minRId="10888" maxRId="11437">
    <sheetIdMap count="40">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Map>
  </header>
  <header guid="{9DB1F4A5-E740-4F8D-8ECE-ED0739350E13}" dateTime="2019-04-11T09:47:57" maxSheetId="45" userName="Пользователь" r:id="rId121" minRId="11438" maxRId="11995">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8E022998-8FCC-4D08-A5EB-DC07CD536E84}" dateTime="2019-04-15T10:05:49" maxSheetId="45" userName="Пользователь" r:id="rId122">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ADB33BCD-2559-4D38-B42E-E1DE63FF6DD3}" dateTime="2019-04-19T11:37:05" maxSheetId="45" userName="Пользователь" r:id="rId123">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C37C3887-24D2-4632-8503-42E7DEE5DF08}" dateTime="2019-04-19T13:28:16" maxSheetId="45" userName="Пользователь" r:id="rId124">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F57A7F94-C262-49F8-B53F-3E4BC8553BBA}" dateTime="2019-04-22T17:54:24" maxSheetId="45" userName="сергей" r:id="rId125">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ACB80A0B-2E3B-48CB-9385-25C88F7EF9B3}" dateTime="2019-04-23T17:53:18" maxSheetId="45" userName="Иван" r:id="rId126" minRId="12192">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D6DECD4E-D7B2-4366-AAF4-524B919782EA}" dateTime="2019-04-24T13:06:49" maxSheetId="45" userName="Пользователь" r:id="rId127">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DA71CB25-4EA0-4180-903D-68FC3844DCD8}" dateTime="2019-04-29T09:41:51" maxSheetId="45" userName="Пользователь" r:id="rId128">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5AA130BA-75E4-4323-8B77-1A706E6A1C61}" dateTime="2019-04-30T13:13:10" maxSheetId="45" userName="Пользователь" r:id="rId129">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3A795CE1-F10A-48C1-B410-2DA823E9F9D9}" dateTime="2019-05-03T11:05:16" maxSheetId="45" userName="Пользователь" r:id="rId130">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B7EABEC8-7616-49BF-96DC-00B781144E5E}" dateTime="2019-05-03T11:26:12" maxSheetId="46" userName="Пользователь" r:id="rId131" minRId="12388" maxRId="12451">
    <sheetIdMap count="4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Map>
  </header>
  <header guid="{5B77573A-0C36-4352-96C8-74D413850BA7}" dateTime="2019-05-03T11:29:00" maxSheetId="46" userName="Пользователь" r:id="rId132" minRId="12491" maxRId="12496">
    <sheetIdMap count="4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Map>
  </header>
  <header guid="{8F12B107-FA69-4B72-BBDC-DE7E79414C27}" dateTime="2019-05-03T11:36:25" maxSheetId="46" userName="Пользователь" r:id="rId133" minRId="12536" maxRId="12551">
    <sheetIdMap count="4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Map>
  </header>
  <header guid="{C7DC3E8C-622F-48F3-94C1-896A5764FFE8}" dateTime="2019-05-03T11:40:54" maxSheetId="46" userName="Пользователь" r:id="rId134" minRId="12592" maxRId="12606">
    <sheetIdMap count="4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Map>
  </header>
  <header guid="{51751AC1-6DDD-4717-8287-96003420A16C}" dateTime="2019-05-03T11:41:23" maxSheetId="46" userName="Пользователь" r:id="rId135">
    <sheetIdMap count="4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Map>
  </header>
  <header guid="{8BAAF2D2-C4F7-4351-B02E-A23DA4BBEB94}" dateTime="2019-05-03T15:01:17" maxSheetId="46" userName="Иван" r:id="rId136" minRId="12687" maxRId="12688">
    <sheetIdMap count="4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Map>
  </header>
  <header guid="{895520E3-A103-4CA4-9B98-97B5888A94FC}" dateTime="2019-05-03T15:00:41" maxSheetId="47" userName="Пользователь" r:id="rId137" minRId="12729" maxRId="13395">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96E8CBE9-D9E7-4805-A2C2-6D654D045807}" dateTime="2019-05-03T15:02:19" maxSheetId="47" userName="Пользователь" r:id="rId138" minRId="13437" maxRId="13478">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86340821-CB5D-4234-9926-A13976C621C5}" dateTime="2019-05-03T15:02:23" maxSheetId="47" userName="Пользователь" r:id="rId139">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75C8B440-924C-4F7A-8DB6-8ABB41912BD7}" dateTime="2019-05-03T15:02:27" maxSheetId="47" userName="Пользователь" r:id="rId140">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66B8B95E-423B-4332-B292-912FB7D1E847}" dateTime="2019-05-03T15:12:33" maxSheetId="47" userName="Пользователь" r:id="rId141">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D2A1D837-E209-40B8-A2E9-BBD7B56673A9}" dateTime="2019-05-03T15:14:29" maxSheetId="47" userName="Пользователь" r:id="rId142">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3FE994E0-2C22-43D8-ADA2-55D59F9B6542}" dateTime="2019-05-03T16:39:46" maxSheetId="47" userName="Иван" r:id="rId143">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C4111813-95F7-4E46-A06C-0D95689AFA41}" dateTime="2019-06-10T16:17:33" maxSheetId="47" userName="Пользователь" r:id="rId144" minRId="13725" maxRId="13751">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8493C782-2919-4771-97FE-B83E78898FB6}" dateTime="2019-06-11T13:08:18" maxSheetId="47" userName="Пользователь" r:id="rId145">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B35B1B8A-987C-4426-9849-7129DB934DA9}" dateTime="2019-06-14T11:48:10" maxSheetId="47" userName="Пользователь" r:id="rId146">
    <sheetIdMap count="4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0D29D2E9-E6C1-4404-9253-62D57CE96152}" dateTime="2019-06-17T10:48:25" maxSheetId="48" userName="Пользователь" r:id="rId147" minRId="13875" maxRId="13945">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2618A048-D7B3-4C85-8B45-05904EE8A2C8}" dateTime="2019-06-17T10:53:51" maxSheetId="48" userName="Пользователь" r:id="rId148" minRId="13987" maxRId="14006">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F06DD456-D7A3-4312-A442-313032447BD4}" dateTime="2019-06-17T11:38:08" maxSheetId="48" userName="Пользователь" r:id="rId149">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524E7833-4A60-4B29-B026-54F16433B050}" dateTime="2019-06-17T11:39:34" maxSheetId="48" userName="Пользователь" r:id="rId150">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B90CD815-BC8A-4B07-AB28-8A36C567F157}" dateTime="2019-06-17T11:52:57" maxSheetId="48" userName="Пользователь" r:id="rId151">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184BB2C9-2A10-4E0C-B7AB-9E062B1748D3}" dateTime="2019-06-17T11:54:01" maxSheetId="48" userName="Пользователь" r:id="rId152">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628C1687-45C6-4D18-899C-632E6C5AF7A1}" dateTime="2019-06-17T11:54:05" maxSheetId="48" userName="Пользователь" r:id="rId153">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C84B43F1-0860-4A75-BF85-ABDC1C43C1C1}" dateTime="2019-06-17T11:55:56" maxSheetId="48" userName="Пользователь" r:id="rId154">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22ED19C8-D9A3-48AB-91D3-8288E89BC512}" dateTime="2019-06-17T11:56:47" maxSheetId="48" userName="Пользователь" r:id="rId155" minRId="14294" maxRId="14295">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7FF8994D-0B65-46E2-A20F-FB651BCD0789}" dateTime="2019-06-17T15:45:13" maxSheetId="48" userName="Пользователь" r:id="rId156" minRId="14338">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5D248F43-B38F-4E03-B834-66CBAA0DA8CB}" dateTime="2019-06-17T15:45:26" maxSheetId="48" userName="Пользователь" r:id="rId157" minRId="14381">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9BCAEBB3-9EB0-4923-AD78-DBEF90C4146A}" dateTime="2019-06-17T16:17:08" maxSheetId="48" userName="Пользователь" r:id="rId158" minRId="14424" maxRId="14425">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 guid="{77C41D13-E8C1-4B73-BEAA-1345427B9720}" dateTime="2019-06-17T16:18:14" maxSheetId="48" userName="Пользователь" r:id="rId159" minRId="14468">
    <sheetIdMap count="47">
      <sheetId val="1"/>
      <sheetId val="47"/>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Map>
  </header>
</headers>
</file>

<file path=xl/revisions/revisionLog1.xml><?xml version="1.0" encoding="utf-8"?>
<revisions xmlns="http://schemas.openxmlformats.org/spreadsheetml/2006/main" xmlns:r="http://schemas.openxmlformats.org/officeDocument/2006/relationships">
  <rcc rId="14468" sId="47" odxf="1" dxf="1">
    <oc r="A2" t="inlineStr">
      <is>
        <r>
          <rPr>
            <b/>
            <sz val="10"/>
            <color theme="1"/>
            <rFont val="Palatino Linotype"/>
            <family val="1"/>
            <charset val="204"/>
          </rPr>
          <t>ООО "ЦЕНТР-ТИМ"</t>
        </r>
        <r>
          <rPr>
            <sz val="10"/>
            <color theme="1"/>
            <rFont val="Palatino Linotype"/>
            <family val="1"/>
            <charset val="204"/>
          </rPr>
          <t xml:space="preserve">   89536104242 Платонов Иван</t>
        </r>
        <r>
          <rPr>
            <b/>
            <sz val="10"/>
            <color theme="1"/>
            <rFont val="Palatino Linotype"/>
            <family val="1"/>
            <charset val="204"/>
          </rPr>
          <t xml:space="preserve">  </t>
        </r>
        <r>
          <rPr>
            <b/>
            <u/>
            <sz val="10"/>
            <color theme="1"/>
            <rFont val="Palatino Linotype"/>
            <family val="1"/>
            <charset val="204"/>
          </rPr>
          <t>centrtim57@mail.ru   17</t>
        </r>
        <r>
          <rPr>
            <b/>
            <u/>
            <sz val="10"/>
            <color rgb="FFFF0000"/>
            <rFont val="Palatino Linotype"/>
            <family val="1"/>
            <charset val="204"/>
          </rPr>
          <t>/06/19</t>
        </r>
      </is>
    </oc>
    <nc r="A2" t="inlineStr">
      <is>
        <r>
          <rPr>
            <b/>
            <sz val="11"/>
            <color theme="1"/>
            <rFont val="Palatino Linotype"/>
            <family val="1"/>
            <charset val="204"/>
          </rPr>
          <t>ООО "ЦЕНТР-ТИМ"</t>
        </r>
        <r>
          <rPr>
            <sz val="11"/>
            <color theme="1"/>
            <rFont val="Palatino Linotype"/>
            <family val="1"/>
            <charset val="204"/>
          </rPr>
          <t xml:space="preserve">   89536104242 Платонов Иван</t>
        </r>
        <r>
          <rPr>
            <b/>
            <sz val="11"/>
            <color theme="1"/>
            <rFont val="Palatino Linotype"/>
            <family val="1"/>
            <charset val="204"/>
          </rPr>
          <t xml:space="preserve">  </t>
        </r>
        <r>
          <rPr>
            <b/>
            <u/>
            <sz val="11"/>
            <color theme="1"/>
            <rFont val="Palatino Linotype"/>
            <family val="1"/>
            <charset val="204"/>
          </rPr>
          <t>centrtim57@mail.ru   17</t>
        </r>
        <r>
          <rPr>
            <b/>
            <u/>
            <sz val="11"/>
            <color rgb="FFFF0000"/>
            <rFont val="Palatino Linotype"/>
            <family val="1"/>
            <charset val="204"/>
          </rPr>
          <t>/06/19</t>
        </r>
      </is>
    </nc>
    <odxf>
      <font>
        <sz val="10"/>
        <name val="Palatino Linotype"/>
        <scheme val="none"/>
      </font>
    </odxf>
    <ndxf>
      <font>
        <sz val="10"/>
        <name val="Palatino Linotype"/>
        <scheme val="none"/>
      </font>
    </ndxf>
  </rcc>
  <rcv guid="{FBB3E572-A647-4B8C-96C7-F43FE4F7CAA8}" action="delete"/>
  <rdn rId="0" localSheetId="1" customView="1" name="Z_FBB3E572_A647_4B8C_96C7_F43FE4F7CAA8_.wvu.PrintArea" hidden="1" oldHidden="1">
    <formula>'ЦЕНТР-ТИМ'!$A$1:$Q$208</formula>
    <oldFormula>'ЦЕНТР-ТИМ'!$A$1:$Q$208</oldFormula>
  </rdn>
  <rdn rId="0" localSheetId="47" customView="1" name="Z_FBB3E572_A647_4B8C_96C7_F43FE4F7CAA8_.wvu.Cols" hidden="1" oldHidden="1">
    <formula>DoorHan!$G:$J</formula>
    <oldFormula>DoorHan!$G:$J</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xml><?xml version="1.0" encoding="utf-8"?>
<revisions xmlns="http://schemas.openxmlformats.org/spreadsheetml/2006/main" xmlns:r="http://schemas.openxmlformats.org/officeDocument/2006/relationships">
  <rrc rId="10184" sId="21" ref="B1:B1048576" action="deleteCol">
    <undo index="0" exp="area" ref3D="1" dr="$J$1:$K$1048576" dn="Z_C0FE86CC_5BB4_4265_957F_F51B909B3E81_.wvu.Cols" sId="21"/>
    <undo index="0" exp="area" ref3D="1" dr="$A$2:$XFD$3" dn="Z_C0FE86CC_5BB4_4265_957F_F51B909B3E81_.wvu.Rows" sId="21"/>
    <undo index="0" exp="area" ref3D="1" dr="$J$1:$K$1048576" dn="Z_FBB3E572_A647_4B8C_96C7_F43FE4F7CAA8_.wvu.Cols" sId="21"/>
    <undo index="0" exp="area" ref3D="1" dr="$J$1:$K$1048576" dn="Z_CC6D6007_EFDE_464F_BD7C_A67043AC5D5C_.wvu.Cols" sId="21"/>
    <undo index="0" exp="area" ref3D="1" dr="$J$1:$K$1048576" dn="Z_900EF7B2_0D63_4DE2_9CFC_2D2B3788802C_.wvu.Cols" sId="21"/>
    <rfmt sheetId="21" xfDxf="1" sqref="B1:B1048576" start="0" length="0"/>
    <rfmt sheetId="21" sqref="B1" start="0" length="0">
      <dxf>
        <font>
          <sz val="18"/>
          <color auto="1"/>
          <name val="Arial"/>
          <scheme val="none"/>
        </font>
        <alignment vertical="top" readingOrder="0"/>
      </dxf>
    </rfmt>
    <rfmt sheetId="21" sqref="B2" start="0" length="0">
      <dxf>
        <font>
          <sz val="26"/>
          <color rgb="FF244062"/>
          <name val="Arial"/>
          <scheme val="none"/>
        </font>
        <alignment vertical="top" readingOrder="0"/>
      </dxf>
    </rfmt>
    <rfmt sheetId="21" sqref="B3" start="0" length="0">
      <dxf>
        <font>
          <b/>
          <sz val="24"/>
          <color rgb="FF244062"/>
          <name val="Tahoma"/>
          <scheme val="none"/>
        </font>
        <alignment horizontal="center" vertical="top" wrapText="1" readingOrder="0"/>
      </dxf>
    </rfmt>
    <rcc rId="0" sId="21" dxf="1">
      <nc r="B4" t="inlineStr">
        <is>
          <t>Допуски по плотности кг/м3</t>
        </is>
      </nc>
      <ndxf>
        <font>
          <b/>
          <sz val="8"/>
          <color auto="1"/>
          <name val="Tahoma"/>
          <scheme val="none"/>
        </font>
        <fill>
          <patternFill patternType="solid">
            <bgColor theme="0" tint="-4.9989318521683403E-2"/>
          </patternFill>
        </fill>
        <alignment horizontal="center" vertical="center" wrapText="1" readingOrder="0"/>
        <border outline="0">
          <left style="thin">
            <color indexed="64"/>
          </left>
          <right style="thin">
            <color indexed="64"/>
          </right>
          <top style="thin">
            <color indexed="64"/>
          </top>
          <bottom style="thin">
            <color indexed="64"/>
          </bottom>
        </border>
      </ndxf>
    </rcc>
    <rfmt sheetId="21" sqref="B5" start="0" length="0">
      <dxf>
        <font>
          <b/>
          <sz val="8"/>
          <color auto="1"/>
          <name val="Tahoma"/>
          <scheme val="none"/>
        </font>
        <fill>
          <patternFill patternType="solid">
            <bgColor theme="0" tint="-4.9989318521683403E-2"/>
          </patternFill>
        </fill>
        <alignment horizontal="center" vertical="center" wrapText="1" readingOrder="0"/>
        <border outline="0">
          <left style="thin">
            <color indexed="64"/>
          </left>
          <right style="thin">
            <color indexed="64"/>
          </right>
          <top style="thin">
            <color indexed="64"/>
          </top>
          <bottom style="thin">
            <color indexed="64"/>
          </bottom>
        </border>
      </dxf>
    </rfmt>
    <rcc rId="0" sId="21" dxf="1">
      <nc r="B6" t="inlineStr">
        <is>
          <t>28-40</t>
        </is>
      </nc>
      <ndxf>
        <font>
          <sz val="10"/>
          <color rgb="FF000000"/>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7" t="inlineStr">
        <is>
          <t>30-45</t>
        </is>
      </nc>
      <ndxf>
        <font>
          <sz val="10"/>
          <color rgb="FF000000"/>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8" t="inlineStr">
        <is>
          <t>38-52</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9" t="inlineStr">
        <is>
          <t>53-67</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0" t="inlineStr">
        <is>
          <t>42-58</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1" t="inlineStr">
        <is>
          <t>135-160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2" t="inlineStr">
        <is>
          <t>120-140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3" t="inlineStr">
        <is>
          <t>100-120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4" t="inlineStr">
        <is>
          <t>90-110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5" t="inlineStr">
        <is>
          <t>82-105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6" t="inlineStr">
        <is>
          <t>70-95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7" t="inlineStr">
        <is>
          <t>35-50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8" t="inlineStr">
        <is>
          <t>130-155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9" t="inlineStr">
        <is>
          <t>110-125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0" t="inlineStr">
        <is>
          <t>90-110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1" t="inlineStr">
        <is>
          <t>175-205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fmt sheetId="21" sqref="B22" start="0" length="0">
      <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dxf>
    </rfmt>
    <rcc rId="0" sId="21" dxf="1">
      <nc r="B23" t="inlineStr">
        <is>
          <t>160-190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fmt sheetId="21" sqref="B24" start="0" length="0">
      <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dxf>
    </rfmt>
    <rcc rId="0" sId="21" dxf="1">
      <nc r="B25" t="inlineStr">
        <is>
          <t>150-175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fmt sheetId="21" sqref="B26" start="0" length="0">
      <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dxf>
    </rfmt>
    <rcc rId="0" sId="21" dxf="1">
      <nc r="B27" t="inlineStr">
        <is>
          <t>155-180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8" t="inlineStr">
        <is>
          <t>110-120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9" t="inlineStr">
        <is>
          <t>90-110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30" t="inlineStr">
        <is>
          <t>150-180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31" t="inlineStr">
        <is>
          <t>120-140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32" t="inlineStr">
        <is>
          <t>50-70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r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0.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snm rId="9956" sheetId="33" oldName="[ПРАЙС ЦЕНТР-ТИМ 2019 обновленный.xlsx]Лист1" newName="[ПРАЙС ЦЕНТР-ТИМ 2019 обновленный.xlsx]ВОКС"/>
</revisions>
</file>

<file path=xl/revisions/revisionLog1101.xml><?xml version="1.0" encoding="utf-8"?>
<revisions xmlns="http://schemas.openxmlformats.org/spreadsheetml/2006/main" xmlns:r="http://schemas.openxmlformats.org/officeDocument/2006/relationships">
  <ris rId="9679" sheetId="33" name="[ПРАЙС ЦЕНТР-ТИМ 2019 обновленный.xlsx]Лист1" sheetPosition="32"/>
  <rcc rId="9680" sId="33" odxf="1" s="1" dxf="1">
    <nc r="A7" t="inlineStr">
      <is>
        <t>Виниловый сайдинг VOX прайс от 02.04.2019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i/>
        <u/>
        <sz val="22"/>
        <color theme="1"/>
        <name val="Calibri"/>
        <scheme val="minor"/>
      </font>
      <alignment horizontal="center" vertical="center" wrapText="1" readingOrder="0"/>
    </ndxf>
  </rcc>
  <rfmt sheetId="33" sqref="B7" start="0" length="0">
    <dxf>
      <font>
        <sz val="22"/>
        <color theme="1"/>
        <name val="Calibri"/>
        <scheme val="minor"/>
      </font>
      <alignment vertical="center" wrapText="1" readingOrder="0"/>
    </dxf>
  </rfmt>
  <rfmt sheetId="33" sqref="C7" start="0" length="0">
    <dxf>
      <font>
        <sz val="22"/>
        <color theme="1"/>
        <name val="Calibri"/>
        <scheme val="minor"/>
      </font>
      <alignment vertical="center" wrapText="1" readingOrder="0"/>
    </dxf>
  </rfmt>
  <rfmt sheetId="33" sqref="D7" start="0" length="0">
    <dxf>
      <font>
        <sz val="22"/>
        <color theme="1"/>
        <name val="Calibri"/>
        <scheme val="minor"/>
      </font>
      <alignment vertical="center" wrapText="1" readingOrder="0"/>
    </dxf>
  </rfmt>
  <rfmt sheetId="33" sqref="E7" start="0" length="0">
    <dxf>
      <font>
        <sz val="22"/>
        <color theme="1"/>
        <name val="Calibri"/>
        <scheme val="minor"/>
      </font>
      <alignment vertical="center" wrapText="1" readingOrder="0"/>
    </dxf>
  </rfmt>
  <rfmt sheetId="33" sqref="A8" start="0" length="0">
    <dxf>
      <font>
        <sz val="22"/>
        <color theme="1"/>
        <name val="Calibri"/>
        <scheme val="minor"/>
      </font>
      <alignment vertical="center" wrapText="1" readingOrder="0"/>
      <border outline="0">
        <bottom style="thin">
          <color auto="1"/>
        </bottom>
      </border>
    </dxf>
  </rfmt>
  <rfmt sheetId="33" sqref="B8" start="0" length="0">
    <dxf>
      <font>
        <sz val="22"/>
        <color theme="1"/>
        <name val="Calibri"/>
        <scheme val="minor"/>
      </font>
      <alignment vertical="center" wrapText="1" readingOrder="0"/>
      <border outline="0">
        <bottom style="thin">
          <color auto="1"/>
        </bottom>
      </border>
    </dxf>
  </rfmt>
  <rfmt sheetId="33" sqref="C8" start="0" length="0">
    <dxf>
      <font>
        <sz val="22"/>
        <color theme="1"/>
        <name val="Calibri"/>
        <scheme val="minor"/>
      </font>
      <alignment vertical="center" wrapText="1" readingOrder="0"/>
      <border outline="0">
        <bottom style="thin">
          <color auto="1"/>
        </bottom>
      </border>
    </dxf>
  </rfmt>
  <rfmt sheetId="33" sqref="D8" start="0" length="0">
    <dxf>
      <font>
        <sz val="22"/>
        <color theme="1"/>
        <name val="Calibri"/>
        <scheme val="minor"/>
      </font>
      <alignment vertical="center" wrapText="1" readingOrder="0"/>
      <border outline="0">
        <bottom style="thin">
          <color auto="1"/>
        </bottom>
      </border>
    </dxf>
  </rfmt>
  <rfmt sheetId="33" sqref="E8" start="0" length="0">
    <dxf>
      <font>
        <sz val="22"/>
        <color theme="1"/>
        <name val="Calibri"/>
        <scheme val="minor"/>
      </font>
      <alignment vertical="center" wrapText="1" readingOrder="0"/>
      <border outline="0">
        <bottom style="thin">
          <color auto="1"/>
        </bottom>
      </border>
    </dxf>
  </rfmt>
  <rcc rId="9681" sId="33" odxf="1" s="1" dxf="1">
    <nc r="A9" t="inlineStr">
      <is>
        <t>Наименование товара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82" sId="33" odxf="1" s="1" dxf="1">
    <nc r="B9" t="inlineStr">
      <is>
        <t>Размеры</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83" sId="33" odxf="1" s="1" dxf="1">
    <nc r="C9" t="inlineStr">
      <is>
        <t>упаковка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top style="thin">
          <color indexed="64"/>
        </top>
        <bottom style="thin">
          <color indexed="64"/>
        </bottom>
      </border>
    </ndxf>
  </rcc>
  <rfmt sheetId="33" s="1" sqref="D9" start="0" length="0">
    <dxf>
      <font>
        <b/>
        <sz val="11"/>
        <color theme="1"/>
        <name val="Calibri"/>
        <scheme val="minor"/>
      </font>
      <alignment horizontal="center" readingOrder="0"/>
      <border outline="0">
        <right style="thin">
          <color indexed="64"/>
        </right>
        <top style="thin">
          <color indexed="64"/>
        </top>
        <bottom style="thin">
          <color indexed="64"/>
        </bottom>
      </border>
    </dxf>
  </rfmt>
  <rcc rId="9684" sId="33" odxf="1" s="1" dxf="1">
    <nc r="E9" t="inlineStr">
      <is>
        <t>роничная цена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85" sId="33" odxf="1" s="1" dxf="1">
    <nc r="A10" t="inlineStr">
      <is>
        <t>Панель  SX-05 System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cc rId="9686" sId="33" odxf="1" s="1" dxf="1">
    <nc r="B10" t="inlineStr">
      <is>
        <t>мм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87" sId="33" odxf="1" s="1" dxf="1">
    <nc r="C10" t="inlineStr">
      <is>
        <t>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88" sId="33" odxf="1" s="1" dxf="1">
    <nc r="D10" t="inlineStr">
      <is>
        <t>кв.м.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89" sId="33" odxf="1" s="1" dxf="1">
    <nc r="E10" t="inlineStr">
      <is>
        <t>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90" sId="33" odxf="1" s="1" dxf="1">
    <nc r="A11" t="inlineStr">
      <is>
        <t>ясень, дуб, бук</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691" sId="33" odxf="1" s="1" dxf="1">
    <nc r="B11" t="inlineStr">
      <is>
        <t>3850 *250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2" sId="33" odxf="1" s="1" dxf="1">
    <nc r="C11"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3" sId="33" odxf="1" s="1" dxf="1">
    <nc r="D11">
      <v>0.96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4" sId="33" odxf="1" s="1" dxf="1">
    <nc r="E11">
      <v>498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695" sId="33" odxf="1" s="1" dxf="1">
    <nc r="A12" t="inlineStr">
      <is>
        <t>дуб золотой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696" sId="33" odxf="1" s="1" dxf="1">
    <nc r="B12" t="inlineStr">
      <is>
        <t>3850 *250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7" sId="33" odxf="1" s="1" dxf="1">
    <nc r="C12"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8" sId="33" odxf="1" s="1" dxf="1">
    <nc r="D12">
      <v>0.96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9" sId="33" odxf="1" s="1" dxf="1">
    <nc r="E12">
      <v>578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00" sId="33" odxf="1" s="1" dxf="1">
    <nc r="A13" t="inlineStr">
      <is>
        <t>Комплектующие System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13"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13"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13"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13" start="0" length="0">
    <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dxf>
  </rfmt>
  <rcc rId="9701" sId="33" odxf="1" s="1" dxf="1">
    <nc r="A14" t="inlineStr">
      <is>
        <t>угол внешний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702" sId="33" odxf="1" s="1" dxf="1">
    <nc r="B14"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03" sId="33" odxf="1" s="1" dxf="1">
    <nc r="C14"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4"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04" sId="33" odxf="1" s="1" dxf="1">
    <nc r="E14">
      <v>845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05" sId="33" odxf="1" s="1" dxf="1">
    <nc r="A15" t="inlineStr">
      <is>
        <t>угол внутренний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06" sId="33" odxf="1" s="1" dxf="1">
    <nc r="B15" t="inlineStr">
      <is>
        <t xml:space="preserve"> 3,05 м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07" sId="33" odxf="1" s="1" dxf="1">
    <nc r="C15"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5"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08" sId="33" odxf="1" s="1" dxf="1">
    <nc r="E15">
      <v>767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09" sId="33" odxf="1" s="1" dxf="1">
    <nc r="A16" t="inlineStr">
      <is>
        <t xml:space="preserve">J-планка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10" sId="33" odxf="1" s="1" dxf="1">
    <nc r="B16"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11" sId="33" odxf="1" s="1" dxf="1">
    <nc r="C16"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6"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12" sId="33" odxf="1" s="1" dxf="1">
    <nc r="E16">
      <v>325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13" sId="33" odxf="1" s="1" dxf="1">
    <nc r="A17" t="inlineStr">
      <is>
        <t>планка соединительная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14" sId="33" odxf="1" s="1" dxf="1">
    <nc r="B17"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15" sId="33" odxf="1" s="1" dxf="1">
    <nc r="C17"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7"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16" sId="33" odxf="1" s="1" dxf="1">
    <nc r="E17">
      <v>767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17" sId="33" odxf="1" s="1" dxf="1">
    <nc r="A18" t="inlineStr">
      <is>
        <t>Панель SV-01 Unicolor</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718" sId="33" odxf="1" s="1" dxf="1">
    <nc r="A19" t="inlineStr">
      <is>
        <t>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19" sId="33" odxf="1" s="1" dxf="1">
    <nc r="B19"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20" sId="33" odxf="1" s="1" dxf="1">
    <nc r="C19"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9"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21" sId="33" odxf="1" s="1" dxf="1">
    <nc r="E19">
      <v>238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readingOrder="0"/>
      <border outline="0">
        <left style="thin">
          <color indexed="64"/>
        </left>
        <right style="thin">
          <color indexed="64"/>
        </right>
        <top style="thin">
          <color indexed="64"/>
        </top>
        <bottom style="thin">
          <color indexed="64"/>
        </bottom>
      </border>
    </ndxf>
  </rcc>
  <rcc rId="9722" sId="33" odxf="1" s="1" dxf="1">
    <nc r="A20" t="inlineStr">
      <is>
        <t>светло-серый,бежевый,кремовый,светло-зеленый,желтый,песочный,янтарный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wrapText="1" readingOrder="0"/>
      <border outline="0">
        <left style="thin">
          <color indexed="64"/>
        </left>
        <right style="thin">
          <color indexed="64"/>
        </right>
        <top style="thin">
          <color indexed="64"/>
        </top>
        <bottom style="thin">
          <color indexed="64"/>
        </bottom>
      </border>
    </ndxf>
  </rcc>
  <rcc rId="9723" sId="33" odxf="1" s="1" dxf="1">
    <nc r="B20"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24" sId="33" odxf="1" s="1" dxf="1">
    <nc r="C20"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0" start="0" length="0">
    <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25" sId="33" odxf="1" s="1" dxf="1">
    <nc r="E20">
      <v>242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vertical="center" readingOrder="0"/>
      <border outline="0">
        <left style="thin">
          <color indexed="64"/>
        </left>
        <right style="thin">
          <color indexed="64"/>
        </right>
        <top style="thin">
          <color indexed="64"/>
        </top>
        <bottom style="thin">
          <color indexed="64"/>
        </bottom>
      </border>
    </ndxf>
  </rcc>
  <rcc rId="9726" sId="33" odxf="1" s="1" dxf="1">
    <nc r="A21" t="inlineStr">
      <is>
        <t>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27" sId="33" odxf="1" s="1" dxf="1">
    <nc r="B21"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28" sId="33" odxf="1" s="1" dxf="1">
    <nc r="C21"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21"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29" sId="33" odxf="1" s="1" dxf="1">
    <nc r="E21">
      <v>185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readingOrder="0"/>
      <border outline="0">
        <left style="thin">
          <color indexed="64"/>
        </left>
        <right style="thin">
          <color indexed="64"/>
        </right>
        <top style="thin">
          <color indexed="64"/>
        </top>
        <bottom style="thin">
          <color indexed="64"/>
        </bottom>
      </border>
    </ndxf>
  </rcc>
  <rcc rId="9730" sId="33" odxf="1" s="1" dxf="1">
    <nc r="A22" t="inlineStr">
      <is>
        <t>светло-серый,бежевый,кремовый,светло-зеленый,желтый,песочный,янтарный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wrapText="1" readingOrder="0"/>
      <border outline="0">
        <left style="thin">
          <color indexed="64"/>
        </left>
        <right style="thin">
          <color indexed="64"/>
        </right>
        <top style="thin">
          <color indexed="64"/>
        </top>
        <bottom style="thin">
          <color indexed="64"/>
        </bottom>
      </border>
    </ndxf>
  </rcc>
  <rcc rId="9731" sId="33" odxf="1" s="1" dxf="1">
    <nc r="B22"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32" sId="33" odxf="1" s="1" dxf="1">
    <nc r="C22"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2" start="0" length="0">
    <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33" sId="33" odxf="1" s="1" dxf="1">
    <nc r="E22">
      <v>190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vertical="center" readingOrder="0"/>
      <border outline="0">
        <left style="thin">
          <color indexed="64"/>
        </left>
        <right style="thin">
          <color indexed="64"/>
        </right>
        <top style="thin">
          <color indexed="64"/>
        </top>
        <bottom style="thin">
          <color indexed="64"/>
        </bottom>
      </border>
    </ndxf>
  </rcc>
  <rcc rId="9734" sId="33" odxf="1" s="1" dxf="1">
    <nc r="A23" t="inlineStr">
      <is>
        <t>Панель SV-05 Unicolor(внешний вид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735" sId="33" odxf="1" s="1" dxf="1">
    <nc r="A24" t="inlineStr">
      <is>
        <t>белый, светло-серый,бежевый,кремовый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36" sId="33" odxf="1" s="1" dxf="1">
    <nc r="B24"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37" sId="33" odxf="1" s="1" dxf="1">
    <nc r="C24"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24"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38" sId="33" odxf="1" s="1" dxf="1">
    <nc r="E24">
      <v>310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39" sId="33" odxf="1" s="1" dxf="1">
    <nc r="A25" t="inlineStr">
      <is>
        <t>Комплектующие Unicolor</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C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D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E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cc rId="9740" sId="33" odxf="1" s="1" dxf="1">
    <nc r="A26" t="inlineStr">
      <is>
        <t>планка стартовая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41" sId="33" odxf="1" s="1" dxf="1">
    <nc r="B26"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42" sId="33" odxf="1" s="1" dxf="1">
    <nc r="C26"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6"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43" sId="33" odxf="1" s="1" dxf="1">
    <nc r="E26">
      <v>115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44" sId="33" odxf="1" s="1" dxf="1">
    <nc r="A27" t="inlineStr">
      <is>
        <t>угол внешний 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45" sId="33" odxf="1" s="1" dxf="1">
    <nc r="B27"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46" sId="33" odxf="1" s="1" dxf="1">
    <nc r="C27"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7"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47" sId="33" odxf="1" s="1" dxf="1">
    <nc r="E27">
      <v>495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48" sId="33" odxf="1" s="1" dxf="1">
    <nc r="A28" t="inlineStr">
      <is>
        <t>угол внешний цветной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49" sId="33" odxf="1" s="1" dxf="1">
    <nc r="B28"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50" sId="33" odxf="1" s="1" dxf="1">
    <nc r="C28"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8"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51" sId="33" odxf="1" s="1" dxf="1">
    <nc r="E28">
      <v>505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52" sId="33" odxf="1" s="1" dxf="1">
    <nc r="A29" t="inlineStr">
      <is>
        <t>угол внутренний 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53" sId="33" odxf="1" s="1" dxf="1">
    <nc r="B29"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54" sId="33" odxf="1" s="1" dxf="1">
    <nc r="C29"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9"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55" sId="33" odxf="1" s="1" dxf="1">
    <nc r="E29">
      <v>425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56" sId="33" odxf="1" s="1" dxf="1">
    <nc r="A30" t="inlineStr">
      <is>
        <t>угол внутренний цветной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57" sId="33" odxf="1" s="1" dxf="1">
    <nc r="B30"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58" sId="33" odxf="1" s="1" dxf="1">
    <nc r="C30"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0"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59" sId="33" odxf="1" s="1" dxf="1">
    <nc r="E30">
      <v>415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60" sId="33" odxf="1" s="1" dxf="1">
    <nc r="A31" t="inlineStr">
      <is>
        <t>планка финишная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61" sId="33" odxf="1" s="1" dxf="1">
    <nc r="B31"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62" sId="33" odxf="1" s="1" dxf="1">
    <nc r="C31"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1"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63" sId="33" odxf="1" s="1" dxf="1">
    <nc r="E31">
      <v>165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64" sId="33" odxf="1" s="1" dxf="1">
    <nc r="A32" t="inlineStr">
      <is>
        <t>планка финишная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65" sId="33" odxf="1" s="1" dxf="1">
    <nc r="B32"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66" sId="33" odxf="1" s="1" dxf="1">
    <nc r="C32"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2"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67" sId="33" odxf="1" s="1" dxf="1">
    <nc r="E32">
      <v>165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68" sId="33" odxf="1" s="1" dxf="1">
    <nc r="A33" t="inlineStr">
      <is>
        <t>j-планка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69" sId="33" odxf="1" s="1" dxf="1">
    <nc r="B33"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70" sId="33" odxf="1" s="1" dxf="1">
    <nc r="C33"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3"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71" sId="33" odxf="1" s="1" dxf="1">
    <nc r="E33">
      <v>165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72" sId="33" odxf="1" s="1" dxf="1">
    <nc r="A34" t="inlineStr">
      <is>
        <t>j-планка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73" sId="33" odxf="1" s="1" dxf="1">
    <nc r="B34"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74" sId="33" odxf="1" s="1" dxf="1">
    <nc r="C34"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4"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75" sId="33" odxf="1" s="1" dxf="1">
    <nc r="E34">
      <v>170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76" sId="33" odxf="1" s="1" dxf="1">
    <nc r="A35" t="inlineStr">
      <is>
        <t>приоконная планка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77" sId="33" odxf="1" s="1" dxf="1">
    <nc r="B35"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78" sId="33" odxf="1" s="1" dxf="1">
    <nc r="C35"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5"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79" sId="33" odxf="1" s="1" dxf="1">
    <nc r="E35">
      <v>465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80" sId="33" odxf="1" s="1" dxf="1">
    <nc r="A36" t="inlineStr">
      <is>
        <t>приоконная планка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81" sId="33" odxf="1" s="1" dxf="1">
    <nc r="B36"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82" sId="33" odxf="1" s="1" dxf="1">
    <nc r="C36"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6"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83" sId="33" odxf="1" s="1" dxf="1">
    <nc r="E36">
      <v>460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84" sId="33" odxf="1" s="1" dxf="1">
    <nc r="A37" t="inlineStr">
      <is>
        <t xml:space="preserve">планка соединительная белая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85" sId="33" odxf="1" s="1" dxf="1">
    <nc r="B37"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86" sId="33" odxf="1" s="1" dxf="1">
    <nc r="C37"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7"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87" sId="33" odxf="1" s="1" dxf="1">
    <nc r="E37">
      <v>470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88" sId="33" odxf="1" s="1" dxf="1">
    <nc r="A38" t="inlineStr">
      <is>
        <t>планка соединительная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89" sId="33" odxf="1" s="1" dxf="1">
    <nc r="B38"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90" sId="33" odxf="1" s="1" dxf="1">
    <nc r="C38"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8"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91" sId="33" odxf="1" s="1" dxf="1">
    <nc r="E38">
      <v>478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92" sId="33" odxf="1" s="1" dxf="1">
    <nc r="A39" t="inlineStr">
      <is>
        <t>планка фасадная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93" sId="33" odxf="1" s="1" dxf="1">
    <nc r="B39"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94" sId="33" odxf="1" s="1" dxf="1">
    <nc r="C39"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9"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95" sId="33" odxf="1" s="1" dxf="1">
    <nc r="E39">
      <v>460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96" sId="33" odxf="1" s="1" dxf="1">
    <nc r="A40" t="inlineStr">
      <is>
        <t>планка фасадная коричневая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97" sId="33" odxf="1" s="1" dxf="1">
    <nc r="B40"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98" sId="33" odxf="1" s="1" dxf="1">
    <nc r="C40"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40"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99" sId="33" odxf="1" s="1" dxf="1">
    <nc r="E40">
      <v>480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800" sId="33" odxf="1" s="1" dxf="1">
    <nc r="A41" t="inlineStr">
      <is>
        <t>Панель Nature SVP-01</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C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D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E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cc rId="9801" sId="33" odxf="1" s="1" dxf="1">
    <nc r="A42" t="inlineStr">
      <is>
        <t>сосна,дуб натуральный,дуб серый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802" sId="33" odxf="1" s="1" dxf="1">
    <nc r="B42"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03" sId="33" odxf="1" s="1" dxf="1">
    <nc r="C42"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2"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04" sId="33" odxf="1" s="1" dxf="1">
    <nc r="E42">
      <v>360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05" sId="33" odxf="1" s="1" dxf="1">
    <nc r="A43" t="inlineStr">
      <is>
        <t>Золотой дуб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06" sId="33" odxf="1" s="1" dxf="1">
    <nc r="B43" t="inlineStr">
      <is>
        <t xml:space="preserve">3,85 м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07" sId="33" odxf="1" s="1" dxf="1">
    <nc r="C43"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fmt sheetId="33" s="1" sqref="D43"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808" sId="33" odxf="1" s="1" dxf="1">
    <nc r="E43">
      <v>444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09" sId="33" odxf="1" s="1" dxf="1">
    <nc r="A44" t="inlineStr">
      <is>
        <t>Панель Nature SVP-05 (внешний вид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44"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fmt sheetId="33" s="1" sqref="C44"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fmt sheetId="33" s="1" sqref="D44"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fmt sheetId="33" s="1" sqref="E44"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810" sId="33" odxf="1" s="1" dxf="1">
    <nc r="A45" t="inlineStr">
      <is>
        <t>дуб золотой,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11" sId="33" odxf="1" s="1" dxf="1">
    <nc r="B45"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12" sId="33" odxf="1" s="1" dxf="1">
    <nc r="C45"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5"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813" sId="33" odxf="1" s="1" dxf="1">
    <nc r="E45">
      <v>495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14" sId="33" odxf="1" s="1" dxf="1">
    <nc r="A46" t="inlineStr">
      <is>
        <t>дуб мореный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15" sId="33" odxf="1" s="1" dxf="1">
    <nc r="B46" t="inlineStr">
      <is>
        <t xml:space="preserve">3,85 м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16" sId="33" odxf="1" s="1" dxf="1">
    <nc r="C46"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fmt sheetId="33" s="1" sqref="D46"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817" sId="33" odxf="1" s="1" dxf="1">
    <nc r="E46">
      <v>430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18" sId="33" odxf="1" s="1" dxf="1">
    <nc r="A47" t="inlineStr">
      <is>
        <t>Комплектующие Nature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819" sId="33" odxf="1" s="1" dxf="1">
    <nc r="A48" t="inlineStr">
      <is>
        <t xml:space="preserve">угол внешний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820" sId="33" odxf="1" s="1" dxf="1">
    <nc r="B48"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21" sId="33" odxf="1" s="1" dxf="1">
    <nc r="C48"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8"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22" sId="33" odxf="1" s="1" dxf="1">
    <nc r="E48">
      <v>836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23" sId="33" odxf="1" s="1" dxf="1">
    <nc r="A49" t="inlineStr">
      <is>
        <t>угол внутренний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24" sId="33" odxf="1" s="1" dxf="1">
    <nc r="B49"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25" sId="33" odxf="1" s="1" dxf="1">
    <nc r="C49"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9"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26" sId="33" odxf="1" s="1" dxf="1">
    <nc r="E49">
      <v>750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27" sId="33" odxf="1" s="1" dxf="1">
    <nc r="A50" t="inlineStr">
      <is>
        <t>планка финишная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828" sId="33" odxf="1" s="1" dxf="1">
    <nc r="B50"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29" sId="33" odxf="1" s="1" dxf="1">
    <nc r="C50"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50"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30" sId="33" odxf="1" s="1" dxf="1">
    <nc r="E50">
      <v>300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31" sId="33" odxf="1" s="1" dxf="1">
    <nc r="A51" t="inlineStr">
      <is>
        <t xml:space="preserve">J-планка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832" sId="33" odxf="1" s="1" dxf="1">
    <nc r="B51"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33" sId="33" odxf="1" s="1" dxf="1">
    <nc r="C51"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51"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34" sId="33" odxf="1" s="1" dxf="1">
    <nc r="E51">
      <v>325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35" sId="33" odxf="1" s="1" dxf="1">
    <nc r="A52" t="inlineStr">
      <is>
        <t xml:space="preserve">Планка соединительная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836" sId="33" odxf="1" s="1" dxf="1">
    <nc r="B52"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37" sId="33" odxf="1" s="1" dxf="1">
    <nc r="C52"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52"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38" sId="33" odxf="1" s="1" dxf="1">
    <nc r="E52">
      <v>750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fmt sheetId="33" sqref="A22:E22">
    <dxf>
      <alignment horizontal="center" readingOrder="0"/>
    </dxf>
  </rfmt>
  <rfmt sheetId="33" sqref="A22:E22">
    <dxf>
      <alignment vertical="center" readingOrder="0"/>
    </dxf>
  </rfmt>
  <rfmt sheetId="33" sqref="A22">
    <dxf>
      <alignment horizontal="left" readingOrder="0"/>
    </dxf>
  </rfmt>
  <rfmt sheetId="33" sqref="A21:C21">
    <dxf>
      <alignment horizontal="center" readingOrder="0"/>
    </dxf>
  </rfmt>
  <rfmt sheetId="33" sqref="A21:C21">
    <dxf>
      <alignment vertical="center" readingOrder="0"/>
    </dxf>
  </rfmt>
  <rfmt sheetId="33" sqref="A21:C21">
    <dxf>
      <alignment horizontal="left" readingOrder="0"/>
    </dxf>
  </rfmt>
  <rfmt sheetId="33" sqref="E21">
    <dxf>
      <alignment vertical="center" readingOrder="0"/>
    </dxf>
  </rfmt>
  <rfmt sheetId="33" sqref="A20">
    <dxf>
      <alignment vertical="center" readingOrder="0"/>
    </dxf>
  </rfmt>
  <rfmt sheetId="33" sqref="B21:E21">
    <dxf>
      <alignment horizontal="right" readingOrder="0"/>
    </dxf>
  </rfmt>
  <rfmt sheetId="33" sqref="B21:E21">
    <dxf>
      <alignment horizontal="center" readingOrder="0"/>
    </dxf>
  </rfmt>
  <rrc rId="9839" sId="33" ref="A6:XFD6" action="deleteRow">
    <rfmt sheetId="33" xfDxf="1" sqref="A6:XFD6" start="0" length="0"/>
  </rrc>
  <rrc rId="9840" sId="33" ref="A6:XFD6" action="deleteRow">
    <rfmt sheetId="33" xfDxf="1" sqref="A6:XFD6" start="0" length="0"/>
    <rcc rId="0" sId="33" s="1" dxf="1">
      <nc r="A6" t="inlineStr">
        <is>
          <t>Виниловый сайдинг VOX прайс от 02.04.2019</t>
        </is>
      </nc>
      <ndxf>
        <font>
          <b/>
          <i/>
          <u/>
          <sz val="22"/>
          <color theme="1"/>
          <name val="Calibri"/>
          <scheme val="minor"/>
        </font>
        <alignment horizontal="center" vertical="center" wrapText="1" readingOrder="0"/>
      </ndxf>
    </rcc>
    <rfmt sheetId="33" sqref="B6" start="0" length="0">
      <dxf>
        <font>
          <sz val="22"/>
          <color theme="1"/>
          <name val="Calibri"/>
          <scheme val="minor"/>
        </font>
        <alignment vertical="center" wrapText="1" readingOrder="0"/>
      </dxf>
    </rfmt>
    <rfmt sheetId="33" sqref="C6" start="0" length="0">
      <dxf>
        <font>
          <sz val="22"/>
          <color theme="1"/>
          <name val="Calibri"/>
          <scheme val="minor"/>
        </font>
        <alignment vertical="center" wrapText="1" readingOrder="0"/>
      </dxf>
    </rfmt>
    <rfmt sheetId="33" sqref="D6" start="0" length="0">
      <dxf>
        <font>
          <sz val="22"/>
          <color theme="1"/>
          <name val="Calibri"/>
          <scheme val="minor"/>
        </font>
        <alignment vertical="center" wrapText="1" readingOrder="0"/>
      </dxf>
    </rfmt>
    <rfmt sheetId="33" sqref="E6" start="0" length="0">
      <dxf>
        <font>
          <sz val="22"/>
          <color theme="1"/>
          <name val="Calibri"/>
          <scheme val="minor"/>
        </font>
        <alignment vertical="center" wrapText="1" readingOrder="0"/>
      </dxf>
    </rfmt>
  </rrc>
  <rcc rId="9841" sId="33">
    <nc r="A5" t="inlineStr">
      <is>
        <t>САЙДИНГ VOX          от 02.04.2019</t>
      </is>
    </nc>
  </rcc>
  <rfmt sheetId="33" sqref="A5:E5">
    <dxf>
      <alignment wrapText="1" readingOrder="0"/>
    </dxf>
  </rfmt>
  <rfmt sheetId="33" sqref="A5" start="0" length="2147483647">
    <dxf>
      <font>
        <b/>
      </font>
    </dxf>
  </rfmt>
  <rfmt sheetId="33" sqref="A5" start="0" length="2147483647">
    <dxf>
      <font>
        <sz val="12"/>
      </font>
    </dxf>
  </rfmt>
  <rfmt sheetId="33" sqref="A4" start="0" length="0">
    <dxf>
      <font>
        <sz val="22"/>
        <color theme="1"/>
        <name val="Calibri"/>
        <scheme val="minor"/>
      </font>
      <fill>
        <patternFill patternType="solid">
          <bgColor rgb="FF00B0F0"/>
        </patternFill>
      </fill>
    </dxf>
  </rfmt>
  <rfmt sheetId="33" sqref="B4" start="0" length="0">
    <dxf>
      <fill>
        <patternFill patternType="solid">
          <bgColor rgb="FF00B0F0"/>
        </patternFill>
      </fill>
    </dxf>
  </rfmt>
  <rfmt sheetId="33" sqref="C4" start="0" length="0">
    <dxf>
      <fill>
        <patternFill patternType="solid">
          <bgColor rgb="FF00B0F0"/>
        </patternFill>
      </fill>
    </dxf>
  </rfmt>
  <rfmt sheetId="33" sqref="D4" start="0" length="0">
    <dxf>
      <fill>
        <patternFill patternType="solid">
          <bgColor rgb="FF00B0F0"/>
        </patternFill>
      </fill>
    </dxf>
  </rfmt>
  <rfmt sheetId="33" sqref="E4" start="0" length="0">
    <dxf>
      <fill>
        <patternFill patternType="solid">
          <bgColor rgb="FF00B0F0"/>
        </patternFill>
      </fill>
    </dxf>
  </rfmt>
  <rfmt sheetId="33" sqref="F4" start="0" length="0">
    <dxf>
      <fill>
        <patternFill patternType="solid">
          <bgColor rgb="FF00B0F0"/>
        </patternFill>
      </fill>
    </dxf>
  </rfmt>
  <rfmt sheetId="33" sqref="G4" start="0" length="0">
    <dxf>
      <fill>
        <patternFill patternType="solid">
          <bgColor rgb="FF00B0F0"/>
        </patternFill>
      </fill>
    </dxf>
  </rfmt>
  <rfmt sheetId="33" sqref="H4" start="0" length="0">
    <dxf>
      <fill>
        <patternFill patternType="solid">
          <bgColor rgb="FF00B0F0"/>
        </patternFill>
      </fill>
    </dxf>
  </rfmt>
  <rfmt sheetId="33" sqref="A4:H4" start="0" length="2147483647">
    <dxf>
      <font>
        <sz val="16"/>
      </font>
    </dxf>
  </rfmt>
  <rfmt sheetId="33" sqref="A4:H4">
    <dxf>
      <fill>
        <patternFill>
          <bgColor theme="0"/>
        </patternFill>
      </fill>
    </dxf>
  </rfmt>
  <rcc rId="9842" sId="33" odxf="1" dxf="1">
    <nc r="A4" t="inlineStr">
      <is>
        <t>ООО "ЦЕНТР-ТИМ"   Платонов Иван 89536104242  centrtim57@mail.ru  28/03/19</t>
      </is>
    </nc>
    <ndxf>
      <font>
        <b/>
        <sz val="16"/>
      </font>
    </ndxf>
  </rcc>
  <rrc rId="9843" sId="33" ref="A1:XFD1" action="deleteRow">
    <rfmt sheetId="33" xfDxf="1" sqref="A1:XFD1" start="0" length="0"/>
  </rrc>
  <rrc rId="9844" sId="33" ref="A1:XFD1" action="deleteRow">
    <rfmt sheetId="33" xfDxf="1" sqref="A1:XFD1"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Лист1!$4:$4</formula>
  </rdn>
  <rcv guid="{FBB3E572-A647-4B8C-96C7-F43FE4F7CAA8}" action="add"/>
</revisions>
</file>

<file path=xl/revisions/revisionLog110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111.xml><?xml version="1.0" encoding="utf-8"?>
<revisions xmlns="http://schemas.openxmlformats.org/spreadsheetml/2006/main" xmlns:r="http://schemas.openxmlformats.org/officeDocument/2006/relationships">
  <ris rId="7241" sheetId="26" name="[ПРАЙС ЦЕНТР-ТИМ 2019 обновленный.xlsx]ГЧ ДЕКЕ" sheetPosition="25"/>
  <rcc rId="7242" sId="26" odxf="1" dxf="1">
    <nc r="A3" t="inlineStr">
      <is>
        <t>Наименование</t>
      </is>
    </nc>
    <odxf>
      <font>
        <b val="0"/>
        <sz val="11"/>
        <color theme="1"/>
        <name val="Calibri"/>
        <scheme val="minor"/>
      </font>
      <alignment horizontal="general" vertical="bottom" wrapText="0" readingOrder="0"/>
      <border outline="0">
        <left/>
        <right/>
        <top/>
        <bottom/>
      </border>
    </odxf>
    <ndxf>
      <font>
        <b/>
        <sz val="22"/>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7243" sId="26" odxf="1" dxf="1">
    <nc r="B3" t="inlineStr">
      <is>
        <t>Кол-во  в упаковке</t>
      </is>
    </nc>
    <odxf>
      <font>
        <b val="0"/>
        <sz val="11"/>
        <color theme="1"/>
        <name val="Calibri"/>
        <scheme val="minor"/>
      </font>
      <alignment horizontal="general" vertical="bottom" wrapText="0" readingOrder="0"/>
      <border outline="0">
        <left/>
        <right/>
        <top/>
        <bottom/>
      </border>
    </odxf>
    <ndxf>
      <font>
        <b/>
        <sz val="12"/>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26" sqref="C3" start="0" length="0">
    <dxf>
      <font>
        <sz val="9"/>
        <color auto="1"/>
        <name val="Arial Narrow"/>
        <scheme val="none"/>
      </font>
      <fill>
        <patternFill patternType="solid">
          <bgColor theme="0"/>
        </patternFill>
      </fill>
      <alignment horizontal="center" vertical="center" wrapText="1" readingOrder="0"/>
    </dxf>
  </rfmt>
  <rcc rId="7244" sId="26" odxf="1" dxf="1">
    <nc r="D3" t="inlineStr">
      <is>
        <t>Для Кровельных и Торгующих Организация</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rgb="FFFFFF99"/>
        </patternFill>
      </fill>
      <alignment horizontal="center" vertical="center" wrapText="1" readingOrder="0"/>
      <border outline="0">
        <left style="medium">
          <color indexed="64"/>
        </left>
        <right style="thin">
          <color indexed="64"/>
        </right>
        <top style="medium">
          <color indexed="64"/>
        </top>
        <bottom style="medium">
          <color indexed="64"/>
        </bottom>
      </border>
    </ndxf>
  </rcc>
  <rcc rId="7245" sId="26"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medium">
          <color indexed="64"/>
        </top>
        <bottom style="medium">
          <color indexed="64"/>
        </bottom>
      </border>
    </ndxf>
  </rcc>
  <rcc rId="7246" sId="26"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thin">
          <color indexed="64"/>
        </left>
        <right style="medium">
          <color indexed="64"/>
        </right>
        <top style="medium">
          <color indexed="64"/>
        </top>
        <bottom style="medium">
          <color indexed="64"/>
        </bottom>
      </border>
    </ndxf>
  </rcc>
  <rfmt sheetId="26" sqref="G3" start="0" length="0">
    <dxf>
      <font>
        <sz val="9"/>
        <color theme="1"/>
        <name val="Arial Narrow"/>
        <scheme val="none"/>
      </font>
      <fill>
        <patternFill patternType="solid">
          <bgColor theme="0"/>
        </patternFill>
      </fill>
      <alignment horizontal="center" vertical="center" readingOrder="0"/>
    </dxf>
  </rfmt>
  <rcc rId="7247" sId="26" odxf="1" dxf="1">
    <nc r="A4" t="inlineStr">
      <is>
        <t>2019 год</t>
      </is>
    </nc>
    <odxf>
      <font>
        <b val="0"/>
        <sz val="11"/>
        <color theme="1"/>
        <name val="Calibri"/>
        <scheme val="minor"/>
      </font>
    </odxf>
    <ndxf>
      <font>
        <b/>
        <sz val="11"/>
        <color theme="1"/>
        <name val="Batang"/>
        <scheme val="none"/>
      </font>
    </ndxf>
  </rcc>
  <rfmt sheetId="26" sqref="B4" start="0" length="0">
    <dxf>
      <font>
        <sz val="11"/>
        <color auto="1"/>
        <name val="Arial Narrow"/>
        <scheme val="none"/>
      </font>
      <alignment vertical="center" readingOrder="0"/>
    </dxf>
  </rfmt>
  <rfmt sheetId="26" sqref="C4" start="0" length="0">
    <dxf>
      <font>
        <sz val="11"/>
        <color auto="1"/>
        <name val="Arial Narrow"/>
        <scheme val="none"/>
      </font>
      <numFmt numFmtId="168" formatCode="#,##0.00&quot;р.&quot;"/>
      <fill>
        <patternFill patternType="solid">
          <bgColor theme="0"/>
        </patternFill>
      </fill>
      <alignment vertical="center" readingOrder="0"/>
    </dxf>
  </rfmt>
  <rfmt sheetId="26" sqref="D4" start="0" length="0">
    <dxf>
      <font>
        <sz val="11"/>
        <color auto="1"/>
        <name val="Arial Narrow"/>
        <scheme val="none"/>
      </font>
      <numFmt numFmtId="168" formatCode="#,##0.00&quot;р.&quot;"/>
      <fill>
        <patternFill patternType="solid">
          <bgColor rgb="FFFFFF99"/>
        </patternFill>
      </fill>
      <alignment vertical="center" readingOrder="0"/>
    </dxf>
  </rfmt>
  <rcc rId="7248" sId="26" odxf="1" dxf="1">
    <nc r="E4" t="inlineStr">
      <is>
        <t>8 919 263 06 07 Дмитрий</t>
      </is>
    </nc>
    <odxf>
      <font>
        <b val="0"/>
        <u val="none"/>
        <sz val="11"/>
        <color theme="1"/>
        <name val="Calibri"/>
        <scheme val="minor"/>
      </font>
      <fill>
        <patternFill patternType="none">
          <bgColor indexed="65"/>
        </patternFill>
      </fill>
      <alignment horizontal="general" vertical="bottom" wrapText="0" readingOrder="0"/>
    </odxf>
    <ndxf>
      <font>
        <b/>
        <u/>
        <sz val="11"/>
        <color auto="1"/>
        <name val="Arial Narrow"/>
        <scheme val="none"/>
      </font>
      <fill>
        <patternFill patternType="solid">
          <bgColor theme="0"/>
        </patternFill>
      </fill>
      <alignment horizontal="right" vertical="center" wrapText="1" readingOrder="0"/>
    </ndxf>
  </rcc>
  <rfmt sheetId="26" sqref="F4" start="0" length="0">
    <dxf>
      <font>
        <u/>
        <sz val="11"/>
        <color theme="1"/>
        <name val="Calibri"/>
        <scheme val="minor"/>
      </font>
      <alignment horizontal="right" vertical="center" wrapText="1" readingOrder="0"/>
    </dxf>
  </rfmt>
  <rfmt sheetId="26" sqref="G4" start="0" length="0">
    <dxf>
      <font>
        <u/>
        <sz val="11"/>
        <color theme="1"/>
        <name val="Calibri"/>
        <scheme val="minor"/>
      </font>
      <alignment horizontal="right" vertical="center" wrapText="1" readingOrder="0"/>
    </dxf>
  </rfmt>
  <rcc rId="7249" sId="26" odxf="1" dxf="1">
    <nc r="A5" t="inlineStr">
      <is>
        <t>Черепица Döcke PIE, серия EUROPA</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250" sId="26" odxf="1" dxf="1">
    <nc r="B5" t="inlineStr">
      <is>
        <t>кв.м./ п.м.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5" start="0" length="0">
    <dxf>
      <font>
        <b/>
        <sz val="11"/>
        <color auto="1"/>
        <name val="Arial Narrow"/>
        <scheme val="none"/>
      </font>
      <numFmt numFmtId="2" formatCode="0.00"/>
      <fill>
        <patternFill patternType="solid">
          <bgColor theme="0"/>
        </patternFill>
      </fill>
      <alignment horizontal="center" vertical="center" readingOrder="0"/>
    </dxf>
  </rfmt>
  <rfmt sheetId="26"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5" start="0" length="0">
    <dxf>
      <fill>
        <patternFill patternType="solid">
          <bgColor rgb="FFFFFF00"/>
        </patternFill>
      </fill>
      <alignment vertical="center" wrapText="1" readingOrder="0"/>
      <border outline="0">
        <top style="thin">
          <color indexed="64"/>
        </top>
        <bottom style="double">
          <color indexed="64"/>
        </bottom>
      </border>
    </dxf>
  </rfmt>
  <rfmt sheetId="26"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5" start="0" length="0">
    <dxf>
      <font>
        <b/>
        <sz val="11"/>
        <color theme="1"/>
        <name val="Arial Narrow"/>
        <scheme val="none"/>
      </font>
      <fill>
        <patternFill patternType="solid">
          <bgColor theme="0"/>
        </patternFill>
      </fill>
      <alignment vertical="center" readingOrder="0"/>
    </dxf>
  </rfmt>
  <rcc rId="7251" sId="26" odxf="1" dxf="1">
    <nc r="A6" t="inlineStr">
      <is>
        <r>
          <t>Гибкая черепица</t>
        </r>
        <r>
          <rPr>
            <b/>
            <sz val="11"/>
            <rFont val="Arial Narrow"/>
            <family val="2"/>
            <charset val="204"/>
          </rPr>
          <t xml:space="preserve"> Döcke PIE EUROPA/ KARAT/ </t>
        </r>
        <r>
          <rPr>
            <sz val="11"/>
            <rFont val="Arial Narrow"/>
            <family val="2"/>
            <charset val="204"/>
          </rPr>
          <t>Зеленый, Коричневый, Красный</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52" sId="26" odxf="1" dxf="1">
    <nc r="B6">
      <v>3</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6" sqref="C6" start="0" length="0">
    <dxf>
      <font>
        <sz val="11"/>
        <color rgb="FFFF0000"/>
        <name val="Arial Narrow"/>
        <scheme val="none"/>
      </font>
      <numFmt numFmtId="2" formatCode="0.00"/>
      <fill>
        <patternFill patternType="solid">
          <bgColor theme="0"/>
        </patternFill>
      </fill>
      <alignment horizontal="center" vertical="center" readingOrder="0"/>
    </dxf>
  </rfmt>
  <rcc rId="7253" sId="26" odxf="1" dxf="1" numFmtId="4">
    <nc r="D6">
      <v>720.26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54" sId="26" odxf="1" dxf="1" numFmtId="4">
    <nc r="E6">
      <v>788.85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55" sId="26" odxf="1" dxf="1" numFmtId="4">
    <nc r="F6">
      <v>857.45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6" start="0" length="0">
    <dxf>
      <font>
        <sz val="11"/>
        <color rgb="FF0000FF"/>
        <name val="Arial Narrow"/>
        <scheme val="none"/>
      </font>
      <fill>
        <patternFill patternType="solid">
          <bgColor theme="0"/>
        </patternFill>
      </fill>
      <alignment vertical="center" readingOrder="0"/>
    </dxf>
  </rfmt>
  <rcc rId="7256" sId="26" odxf="1" dxf="1">
    <nc r="A7" t="inlineStr">
      <is>
        <r>
          <t>Гибкая черепица</t>
        </r>
        <r>
          <rPr>
            <b/>
            <sz val="11"/>
            <rFont val="Arial Narrow"/>
            <family val="2"/>
            <charset val="204"/>
          </rPr>
          <t xml:space="preserve"> Döcke PIE EUROPA/ MATRIX/</t>
        </r>
        <r>
          <rPr>
            <sz val="11"/>
            <rFont val="Arial Narrow"/>
            <family val="2"/>
            <charset val="204"/>
          </rPr>
          <t xml:space="preserve"> Коричневый, Красный, Серый</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57" sId="26" odxf="1" dxf="1">
    <nc r="B7">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7" start="0" length="0">
    <dxf>
      <font>
        <sz val="11"/>
        <color rgb="FFFF0000"/>
        <name val="Arial Narrow"/>
        <scheme val="none"/>
      </font>
      <numFmt numFmtId="2" formatCode="0.00"/>
      <fill>
        <patternFill patternType="solid">
          <bgColor theme="0"/>
        </patternFill>
      </fill>
      <alignment horizontal="center" vertical="center" readingOrder="0"/>
    </dxf>
  </rfmt>
  <rcc rId="7258" sId="26" odxf="1" dxf="1" numFmtId="4">
    <nc r="D7">
      <v>720.26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59" sId="26" odxf="1" dxf="1" numFmtId="4">
    <nc r="E7">
      <v>788.85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60" sId="26" odxf="1" dxf="1" numFmtId="4">
    <nc r="F7">
      <v>857.45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7" start="0" length="0">
    <dxf>
      <font>
        <sz val="11"/>
        <color theme="1"/>
        <name val="Arial Narrow"/>
        <scheme val="none"/>
      </font>
      <fill>
        <patternFill patternType="solid">
          <bgColor theme="0"/>
        </patternFill>
      </fill>
      <alignment vertical="center" readingOrder="0"/>
    </dxf>
  </rfmt>
  <rcc rId="7261" sId="26" odxf="1" dxf="1">
    <nc r="A8" t="inlineStr">
      <is>
        <r>
          <t>Гибкая черепица</t>
        </r>
        <r>
          <rPr>
            <b/>
            <sz val="11"/>
            <rFont val="Arial Narrow"/>
            <family val="2"/>
            <charset val="204"/>
          </rPr>
          <t xml:space="preserve"> Döcke PIE EUROPA/ CUPOLA/ </t>
        </r>
        <r>
          <rPr>
            <sz val="11"/>
            <rFont val="Arial Narrow"/>
            <family val="2"/>
            <charset val="204"/>
          </rPr>
          <t>Зеленый, Коричневый, Красный</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62" sId="26" odxf="1" dxf="1">
    <nc r="B8">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8" start="0" length="0">
    <dxf>
      <font>
        <sz val="11"/>
        <color rgb="FFFF0000"/>
        <name val="Arial Narrow"/>
        <scheme val="none"/>
      </font>
      <numFmt numFmtId="2" formatCode="0.00"/>
      <fill>
        <patternFill patternType="solid">
          <bgColor theme="0"/>
        </patternFill>
      </fill>
      <alignment horizontal="center" vertical="center" readingOrder="0"/>
    </dxf>
  </rfmt>
  <rcc rId="7263" sId="26" odxf="1" dxf="1" numFmtId="4">
    <nc r="D8">
      <v>855.93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64" sId="26" odxf="1" dxf="1" numFmtId="4">
    <nc r="E8">
      <v>937.44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65" sId="26" odxf="1" dxf="1" numFmtId="4">
    <nc r="F8">
      <v>1018.96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8" start="0" length="0">
    <dxf>
      <font>
        <sz val="11"/>
        <color theme="1"/>
        <name val="Arial Narrow"/>
        <scheme val="none"/>
      </font>
      <fill>
        <patternFill patternType="solid">
          <bgColor theme="0"/>
        </patternFill>
      </fill>
      <alignment vertical="center" readingOrder="0"/>
    </dxf>
  </rfmt>
  <rfmt sheetId="26" sqref="A9" start="0" length="0">
    <dxf>
      <font>
        <sz val="11"/>
        <color auto="1"/>
        <name val="Arial Narrow"/>
        <scheme val="none"/>
      </font>
      <fill>
        <patternFill patternType="solid">
          <bgColor theme="0"/>
        </patternFill>
      </fill>
      <alignment vertical="center" readingOrder="0"/>
    </dxf>
  </rfmt>
  <rfmt sheetId="26" sqref="B9" start="0" length="0">
    <dxf>
      <font>
        <sz val="11"/>
        <color auto="1"/>
        <name val="Arial Narrow"/>
        <scheme val="none"/>
      </font>
      <fill>
        <patternFill patternType="solid">
          <bgColor theme="0"/>
        </patternFill>
      </fill>
      <alignment vertical="center" readingOrder="0"/>
    </dxf>
  </rfmt>
  <rfmt sheetId="26" sqref="C9" start="0" length="0">
    <dxf>
      <font>
        <sz val="11"/>
        <color auto="1"/>
        <name val="Arial Narrow"/>
        <scheme val="none"/>
      </font>
      <fill>
        <patternFill patternType="solid">
          <bgColor theme="0"/>
        </patternFill>
      </fill>
      <alignment vertical="center" readingOrder="0"/>
    </dxf>
  </rfmt>
  <rfmt sheetId="26" sqref="D9" start="0" length="0">
    <dxf>
      <font>
        <sz val="11"/>
        <color auto="1"/>
        <name val="Arial Narrow"/>
        <scheme val="none"/>
      </font>
      <fill>
        <patternFill patternType="solid">
          <bgColor rgb="FFFFFF99"/>
        </patternFill>
      </fill>
      <alignment vertical="center" readingOrder="0"/>
    </dxf>
  </rfmt>
  <rfmt sheetId="26" sqref="E9" start="0" length="0">
    <dxf>
      <font>
        <sz val="11"/>
        <color auto="1"/>
        <name val="Arial Narrow"/>
        <scheme val="none"/>
      </font>
      <fill>
        <patternFill patternType="solid">
          <bgColor theme="0"/>
        </patternFill>
      </fill>
      <alignment vertical="center" readingOrder="0"/>
    </dxf>
  </rfmt>
  <rfmt sheetId="26" sqref="F9" start="0" length="0">
    <dxf>
      <font>
        <sz val="11"/>
        <color auto="1"/>
        <name val="Arial Narrow"/>
        <scheme val="none"/>
      </font>
      <fill>
        <patternFill patternType="solid">
          <bgColor theme="0"/>
        </patternFill>
      </fill>
      <alignment vertical="center" readingOrder="0"/>
    </dxf>
  </rfmt>
  <rfmt sheetId="26" sqref="G9" start="0" length="0">
    <dxf>
      <font>
        <sz val="11"/>
        <color theme="1"/>
        <name val="Arial Narrow"/>
        <scheme val="none"/>
      </font>
      <fill>
        <patternFill patternType="solid">
          <bgColor theme="0"/>
        </patternFill>
      </fill>
      <alignment vertical="center" readingOrder="0"/>
    </dxf>
  </rfmt>
  <rcc rId="7266" sId="26" odxf="1" dxf="1">
    <nc r="A10" t="inlineStr">
      <is>
        <t>Черепица Döcke PIE, серия STANDARD</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267" sId="26" odxf="1" dxf="1">
    <nc r="B10" t="inlineStr">
      <is>
        <t>кв.м./ п.м.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10" start="0" length="0">
    <dxf>
      <font>
        <b/>
        <sz val="11"/>
        <color auto="1"/>
        <name val="Arial Narrow"/>
        <scheme val="none"/>
      </font>
      <numFmt numFmtId="2" formatCode="0.00"/>
      <fill>
        <patternFill patternType="solid">
          <bgColor theme="0"/>
        </patternFill>
      </fill>
      <alignment horizontal="center" vertical="center" readingOrder="0"/>
    </dxf>
  </rfmt>
  <rfmt sheetId="26" sqref="D10"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10" start="0" length="0">
    <dxf>
      <fill>
        <patternFill patternType="solid">
          <bgColor rgb="FFFFFF00"/>
        </patternFill>
      </fill>
      <alignment vertical="center" wrapText="1" readingOrder="0"/>
      <border outline="0">
        <top style="thin">
          <color indexed="64"/>
        </top>
        <bottom style="double">
          <color indexed="64"/>
        </bottom>
      </border>
    </dxf>
  </rfmt>
  <rfmt sheetId="26" sqref="F10"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10" start="0" length="0">
    <dxf>
      <font>
        <b/>
        <sz val="11"/>
        <color theme="1"/>
        <name val="Arial Narrow"/>
        <scheme val="none"/>
      </font>
      <fill>
        <patternFill patternType="solid">
          <bgColor theme="0"/>
        </patternFill>
      </fill>
      <alignment vertical="center" readingOrder="0"/>
    </dxf>
  </rfmt>
  <rcc rId="7268" sId="26" odxf="1" dxf="1">
    <nc r="A11" t="inlineStr">
      <is>
        <r>
          <t>Гибкая черепица</t>
        </r>
        <r>
          <rPr>
            <b/>
            <sz val="11"/>
            <rFont val="Arial Narrow"/>
            <family val="2"/>
            <charset val="204"/>
          </rPr>
          <t xml:space="preserve"> Döcke PIE STANDARD/ СОТА/</t>
        </r>
        <r>
          <rPr>
            <sz val="11"/>
            <rFont val="Arial Narrow"/>
            <family val="2"/>
            <charset val="204"/>
          </rPr>
          <t xml:space="preserve"> Зеленый, Коричневый, Красный, Серый </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69" sId="26" odxf="1" dxf="1">
    <nc r="B11">
      <v>3</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6" sqref="C11" start="0" length="0">
    <dxf>
      <font>
        <sz val="11"/>
        <color rgb="FFFF0000"/>
        <name val="Arial Narrow"/>
        <scheme val="none"/>
      </font>
      <numFmt numFmtId="2" formatCode="0.00"/>
      <fill>
        <patternFill patternType="solid">
          <bgColor theme="0"/>
        </patternFill>
      </fill>
      <alignment horizontal="center" vertical="center" readingOrder="0"/>
    </dxf>
  </rfmt>
  <rcc rId="7270" sId="26" odxf="1" dxf="1" numFmtId="4">
    <nc r="D11">
      <v>908.34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71" sId="26" odxf="1" dxf="1" numFmtId="4">
    <nc r="E11">
      <v>996.96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72" sId="26" odxf="1" dxf="1" numFmtId="4">
    <nc r="F11">
      <v>1107.73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1" start="0" length="0">
    <dxf>
      <font>
        <sz val="11"/>
        <color rgb="FF0000FF"/>
        <name val="Arial Narrow"/>
        <scheme val="none"/>
      </font>
      <fill>
        <patternFill patternType="solid">
          <bgColor theme="0"/>
        </patternFill>
      </fill>
      <alignment vertical="center" readingOrder="0"/>
    </dxf>
  </rfmt>
  <rcc rId="7273" sId="26" odxf="1" dxf="1">
    <nc r="A12" t="inlineStr">
      <is>
        <r>
          <t>Гибкая черепица</t>
        </r>
        <r>
          <rPr>
            <b/>
            <sz val="11"/>
            <rFont val="Arial Narrow"/>
            <family val="2"/>
            <charset val="204"/>
          </rPr>
          <t xml:space="preserve"> Döcke PIE STANDARD/ ТЕТРИС/</t>
        </r>
        <r>
          <rPr>
            <sz val="11"/>
            <rFont val="Arial Narrow"/>
            <family val="2"/>
            <charset val="204"/>
          </rPr>
          <t xml:space="preserve"> Красный, Коричневый, Зеленый</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274" sId="26" odxf="1" dxf="1">
    <nc r="B12">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2" start="0" length="0">
    <dxf>
      <font>
        <sz val="11"/>
        <color rgb="FFFF0000"/>
        <name val="Arial Narrow"/>
        <scheme val="none"/>
      </font>
      <numFmt numFmtId="2" formatCode="0.00"/>
      <fill>
        <patternFill patternType="solid">
          <bgColor theme="0"/>
        </patternFill>
      </fill>
      <alignment horizontal="center" vertical="center" readingOrder="0"/>
    </dxf>
  </rfmt>
  <rcc rId="7275" sId="26" odxf="1" dxf="1" numFmtId="4">
    <nc r="D12">
      <v>935.6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76" sId="26" odxf="1" dxf="1" numFmtId="4">
    <nc r="E12">
      <v>1026.8800000000001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77" sId="26" odxf="1" dxf="1" numFmtId="4">
    <nc r="F12">
      <v>1140.97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2" start="0" length="0">
    <dxf>
      <font>
        <sz val="11"/>
        <color theme="1"/>
        <name val="Arial Narrow"/>
        <scheme val="none"/>
      </font>
      <fill>
        <patternFill patternType="solid">
          <bgColor theme="0"/>
        </patternFill>
      </fill>
      <alignment vertical="center" readingOrder="0"/>
    </dxf>
  </rfmt>
  <rcc rId="7278" sId="26" odxf="1" dxf="1">
    <nc r="A13" t="inlineStr">
      <is>
        <r>
          <t xml:space="preserve">Гибкая черепица </t>
        </r>
        <r>
          <rPr>
            <b/>
            <sz val="11"/>
            <rFont val="Arial Narrow"/>
            <family val="2"/>
            <charset val="204"/>
          </rPr>
          <t xml:space="preserve">Döcke PIE STANDARD/ КОЛЬЧУГА/ </t>
        </r>
        <r>
          <rPr>
            <sz val="11"/>
            <rFont val="Arial Narrow"/>
            <family val="2"/>
            <charset val="204"/>
          </rPr>
          <t xml:space="preserve">Зеленый, Красный, Коричневый </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279" sId="26" odxf="1" dxf="1">
    <nc r="B13">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3" start="0" length="0">
    <dxf>
      <font>
        <sz val="11"/>
        <color rgb="FFFF0000"/>
        <name val="Arial Narrow"/>
        <scheme val="none"/>
      </font>
      <numFmt numFmtId="2" formatCode="0.00"/>
      <fill>
        <patternFill patternType="solid">
          <bgColor theme="0"/>
        </patternFill>
      </fill>
      <alignment horizontal="center" vertical="center" readingOrder="0"/>
    </dxf>
  </rfmt>
  <rcc rId="7280" sId="26" odxf="1" dxf="1" numFmtId="4">
    <nc r="D13">
      <v>1079.3900000000001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81" sId="26" odxf="1" dxf="1" numFmtId="4">
    <nc r="E13">
      <v>1184.69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82" sId="26" odxf="1" dxf="1" numFmtId="4">
    <nc r="F13">
      <v>1316.33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3" start="0" length="0">
    <dxf>
      <font>
        <sz val="11"/>
        <color theme="1"/>
        <name val="Arial Narrow"/>
        <scheme val="none"/>
      </font>
      <fill>
        <patternFill patternType="solid">
          <bgColor theme="0"/>
        </patternFill>
      </fill>
      <alignment vertical="center" readingOrder="0"/>
    </dxf>
  </rfmt>
  <rcc rId="7283" sId="26" odxf="1" dxf="1">
    <nc r="A14" t="inlineStr">
      <is>
        <r>
          <t xml:space="preserve">Гибкая черепица </t>
        </r>
        <r>
          <rPr>
            <b/>
            <sz val="11"/>
            <rFont val="Arial Narrow"/>
            <family val="2"/>
            <charset val="204"/>
          </rPr>
          <t>Döcke PIE STANDARD/ КРОНА/</t>
        </r>
        <r>
          <rPr>
            <sz val="11"/>
            <rFont val="Arial Narrow"/>
            <family val="2"/>
            <charset val="204"/>
          </rPr>
          <t xml:space="preserve"> Красный, Коричневый, Серый </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284" sId="26" odxf="1" dxf="1">
    <nc r="B14">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4" start="0" length="0">
    <dxf>
      <font>
        <sz val="11"/>
        <color rgb="FFFF0000"/>
        <name val="Arial Narrow"/>
        <scheme val="none"/>
      </font>
      <numFmt numFmtId="2" formatCode="0.00"/>
      <fill>
        <patternFill patternType="solid">
          <bgColor theme="0"/>
        </patternFill>
      </fill>
      <alignment horizontal="center" vertical="center" readingOrder="0"/>
    </dxf>
  </rfmt>
  <rcc rId="7285" sId="26" odxf="1" dxf="1" numFmtId="4">
    <nc r="D14">
      <v>1173.27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86" sId="26" odxf="1" dxf="1" numFmtId="4">
    <nc r="E14">
      <v>1287.74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87" sId="26" odxf="1" dxf="1" numFmtId="4">
    <nc r="F14">
      <v>1430.82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4" start="0" length="0">
    <dxf>
      <font>
        <sz val="11"/>
        <color theme="1"/>
        <name val="Arial Narrow"/>
        <scheme val="none"/>
      </font>
      <fill>
        <patternFill patternType="solid">
          <bgColor theme="0"/>
        </patternFill>
      </fill>
      <alignment vertical="center" readingOrder="0"/>
    </dxf>
  </rfmt>
  <rcc rId="7288" sId="26" odxf="1" dxf="1">
    <nc r="A15" t="inlineStr">
      <is>
        <r>
          <rPr>
            <b/>
            <i/>
            <sz val="11"/>
            <rFont val="Arial Narrow"/>
            <family val="2"/>
            <charset val="204"/>
          </rPr>
          <t xml:space="preserve">Коньково-карнизная черепица </t>
        </r>
        <r>
          <rPr>
            <i/>
            <sz val="11"/>
            <rFont val="Arial Narrow"/>
            <family val="2"/>
            <charset val="204"/>
          </rPr>
          <t xml:space="preserve">Döcke PIE STANDARD/ Зеленый, Коричневый, Красный, Серый </t>
        </r>
      </is>
    </nc>
    <odxf>
      <font>
        <i val="0"/>
        <sz val="11"/>
        <color theme="1"/>
        <name val="Calibri"/>
        <scheme val="minor"/>
      </font>
      <alignment vertical="bottom" readingOrder="0"/>
      <border outline="0">
        <left/>
        <right/>
        <bottom/>
      </border>
    </odxf>
    <ndxf>
      <font>
        <i/>
        <sz val="11"/>
        <color auto="1"/>
        <name val="Arial Narrow"/>
        <scheme val="none"/>
      </font>
      <alignment vertical="center" readingOrder="0"/>
      <border outline="0">
        <left style="thin">
          <color indexed="64"/>
        </left>
        <right style="thin">
          <color indexed="64"/>
        </right>
        <bottom style="thin">
          <color indexed="64"/>
        </bottom>
      </border>
    </ndxf>
  </rcc>
  <rcc rId="7289" sId="26" odxf="1" dxf="1">
    <nc r="B15">
      <v>11</v>
    </nc>
    <odxf>
      <font>
        <b val="0"/>
        <i val="0"/>
        <sz val="11"/>
        <color theme="1"/>
        <name val="Calibri"/>
        <scheme val="minor"/>
      </font>
      <alignment horizontal="general" vertical="bottom" readingOrder="0"/>
      <border outline="0">
        <left/>
        <right/>
        <bottom/>
      </border>
    </odxf>
    <ndxf>
      <font>
        <b/>
        <i/>
        <sz val="11"/>
        <color auto="1"/>
        <name val="Arial Narrow"/>
        <scheme val="none"/>
      </font>
      <alignment horizontal="center" vertical="center" readingOrder="0"/>
      <border outline="0">
        <left style="thin">
          <color indexed="64"/>
        </left>
        <right style="thin">
          <color indexed="64"/>
        </right>
        <bottom style="thin">
          <color indexed="64"/>
        </bottom>
      </border>
    </ndxf>
  </rcc>
  <rfmt sheetId="26" sqref="C15" start="0" length="0">
    <dxf>
      <font>
        <i/>
        <sz val="11"/>
        <color rgb="FFFF0000"/>
        <name val="Arial Narrow"/>
        <scheme val="none"/>
      </font>
      <numFmt numFmtId="2" formatCode="0.00"/>
      <fill>
        <patternFill patternType="solid">
          <bgColor theme="0"/>
        </patternFill>
      </fill>
      <alignment horizontal="center" vertical="center" readingOrder="0"/>
    </dxf>
  </rfmt>
  <rcc rId="7290" sId="26" odxf="1" dxf="1" numFmtId="4">
    <nc r="D15">
      <v>2296.69</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91" sId="26" odxf="1" dxf="1" numFmtId="4">
    <nc r="E15">
      <v>2520.75</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92" sId="26" odxf="1" dxf="1" numFmtId="4">
    <nc r="F15">
      <v>2800.84</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5" start="0" length="0">
    <dxf>
      <font>
        <i/>
        <sz val="11"/>
        <color theme="1"/>
        <name val="Arial Narrow"/>
        <scheme val="none"/>
      </font>
      <fill>
        <patternFill patternType="solid">
          <bgColor theme="0"/>
        </patternFill>
      </fill>
      <alignment vertical="center" readingOrder="0"/>
    </dxf>
  </rfmt>
  <rfmt sheetId="26" sqref="A16" start="0" length="0">
    <dxf>
      <font>
        <sz val="11"/>
        <color auto="1"/>
        <name val="Arial Narrow"/>
        <scheme val="none"/>
      </font>
      <fill>
        <patternFill patternType="solid">
          <bgColor theme="0"/>
        </patternFill>
      </fill>
      <alignment vertical="center" readingOrder="0"/>
    </dxf>
  </rfmt>
  <rfmt sheetId="26" sqref="B16" start="0" length="0">
    <dxf>
      <font>
        <sz val="11"/>
        <color auto="1"/>
        <name val="Arial Narrow"/>
        <scheme val="none"/>
      </font>
      <fill>
        <patternFill patternType="solid">
          <bgColor theme="0"/>
        </patternFill>
      </fill>
      <alignment vertical="center" readingOrder="0"/>
    </dxf>
  </rfmt>
  <rfmt sheetId="26" sqref="C16" start="0" length="0">
    <dxf>
      <font>
        <sz val="11"/>
        <color auto="1"/>
        <name val="Arial Narrow"/>
        <scheme val="none"/>
      </font>
      <fill>
        <patternFill patternType="solid">
          <bgColor theme="0"/>
        </patternFill>
      </fill>
      <alignment vertical="center" readingOrder="0"/>
    </dxf>
  </rfmt>
  <rfmt sheetId="26" sqref="D16" start="0" length="0">
    <dxf>
      <font>
        <sz val="11"/>
        <color auto="1"/>
        <name val="Arial Narrow"/>
        <scheme val="none"/>
      </font>
      <fill>
        <patternFill patternType="solid">
          <bgColor rgb="FFFFFF99"/>
        </patternFill>
      </fill>
      <alignment vertical="center" readingOrder="0"/>
    </dxf>
  </rfmt>
  <rfmt sheetId="26" sqref="E16" start="0" length="0">
    <dxf>
      <font>
        <sz val="11"/>
        <color auto="1"/>
        <name val="Arial Narrow"/>
        <scheme val="none"/>
      </font>
      <fill>
        <patternFill patternType="solid">
          <bgColor theme="0"/>
        </patternFill>
      </fill>
      <alignment vertical="center" readingOrder="0"/>
    </dxf>
  </rfmt>
  <rfmt sheetId="26" sqref="F16" start="0" length="0">
    <dxf>
      <font>
        <sz val="11"/>
        <color auto="1"/>
        <name val="Arial Narrow"/>
        <scheme val="none"/>
      </font>
      <fill>
        <patternFill patternType="solid">
          <bgColor theme="0"/>
        </patternFill>
      </fill>
      <alignment vertical="center" readingOrder="0"/>
    </dxf>
  </rfmt>
  <rfmt sheetId="26" sqref="G16" start="0" length="0">
    <dxf>
      <font>
        <sz val="11"/>
        <color theme="1"/>
        <name val="Arial Narrow"/>
        <scheme val="none"/>
      </font>
      <fill>
        <patternFill patternType="solid">
          <bgColor theme="0"/>
        </patternFill>
      </fill>
      <alignment vertical="center" readingOrder="0"/>
    </dxf>
  </rfmt>
  <rcc rId="7293" sId="26" odxf="1" dxf="1">
    <nc r="A17" t="inlineStr">
      <is>
        <t>Черепица Döcke PIE, серия PREMIUM</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294" sId="26" odxf="1" dxf="1">
    <nc r="B17">
      <f>B5</f>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17" start="0" length="0">
    <dxf>
      <font>
        <b/>
        <sz val="11"/>
        <color auto="1"/>
        <name val="Arial Narrow"/>
        <scheme val="none"/>
      </font>
      <numFmt numFmtId="2" formatCode="0.00"/>
      <fill>
        <patternFill patternType="solid">
          <bgColor theme="0"/>
        </patternFill>
      </fill>
      <alignment horizontal="center" vertical="center" readingOrder="0"/>
    </dxf>
  </rfmt>
  <rfmt sheetId="26" sqref="D17"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17" start="0" length="0">
    <dxf>
      <fill>
        <patternFill patternType="solid">
          <bgColor rgb="FFFFFF00"/>
        </patternFill>
      </fill>
      <alignment vertical="center" wrapText="1" readingOrder="0"/>
      <border outline="0">
        <top style="thin">
          <color indexed="64"/>
        </top>
        <bottom style="double">
          <color indexed="64"/>
        </bottom>
      </border>
    </dxf>
  </rfmt>
  <rfmt sheetId="26" sqref="F17"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17" start="0" length="0">
    <dxf>
      <font>
        <b/>
        <sz val="11"/>
        <color theme="1"/>
        <name val="Arial Narrow"/>
        <scheme val="none"/>
      </font>
      <fill>
        <patternFill patternType="solid">
          <bgColor theme="0"/>
        </patternFill>
      </fill>
      <alignment vertical="center" readingOrder="0"/>
    </dxf>
  </rfmt>
  <rcc rId="7295" sId="26" odxf="1" dxf="1">
    <nc r="A18" t="inlineStr">
      <is>
        <r>
          <t xml:space="preserve">Гибкая черепица </t>
        </r>
        <r>
          <rPr>
            <b/>
            <sz val="11"/>
            <rFont val="Arial Narrow"/>
            <family val="2"/>
            <charset val="204"/>
          </rPr>
          <t xml:space="preserve">Döcke PIE PREMIUM/ НИЦЦА/ </t>
        </r>
        <r>
          <rPr>
            <sz val="11"/>
            <rFont val="Arial Narrow"/>
            <family val="2"/>
            <charset val="204"/>
          </rPr>
          <t>Каштан, Фундук, Барбарис, Щербет</t>
        </r>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7296" sId="26" odxf="1" dxf="1">
    <nc r="B18">
      <v>2.9</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8" start="0" length="0">
    <dxf>
      <font>
        <sz val="11"/>
        <color rgb="FFFF0000"/>
        <name val="Arial Narrow"/>
        <scheme val="none"/>
      </font>
      <numFmt numFmtId="2" formatCode="0.00"/>
      <fill>
        <patternFill patternType="solid">
          <bgColor theme="0"/>
        </patternFill>
      </fill>
      <alignment horizontal="center" vertical="center" readingOrder="0"/>
    </dxf>
  </rfmt>
  <rcc rId="7297" sId="26" odxf="1" dxf="1" numFmtId="4">
    <nc r="D18">
      <v>995.51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98" sId="26" odxf="1" dxf="1" numFmtId="4">
    <nc r="E18">
      <v>1137.73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99" sId="26" odxf="1" dxf="1" numFmtId="4">
    <nc r="F18">
      <v>1292.8699999999999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8" start="0" length="0">
    <dxf>
      <font>
        <sz val="11"/>
        <color rgb="FFFF0000"/>
        <name val="Arial Narrow"/>
        <scheme val="none"/>
      </font>
      <fill>
        <patternFill patternType="solid">
          <bgColor theme="0"/>
        </patternFill>
      </fill>
      <alignment vertical="center" readingOrder="0"/>
    </dxf>
  </rfmt>
  <rcc rId="7300" sId="26" odxf="1" dxf="1">
    <nc r="A19" t="inlineStr">
      <is>
        <r>
          <t xml:space="preserve">Гибкая черепица </t>
        </r>
        <r>
          <rPr>
            <b/>
            <sz val="11"/>
            <rFont val="Arial Narrow"/>
            <family val="2"/>
            <charset val="204"/>
          </rPr>
          <t>Döcke PIE PREMIUM/ КЁЛЬН/</t>
        </r>
        <r>
          <rPr>
            <sz val="11"/>
            <rFont val="Arial Narrow"/>
            <family val="2"/>
            <charset val="204"/>
          </rPr>
          <t xml:space="preserve"> Имбирь, Корица, Мята, Чернослив</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01" sId="26" odxf="1" dxf="1">
    <nc r="B19">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9" start="0" length="0">
    <dxf>
      <font>
        <sz val="11"/>
        <color rgb="FFFF0000"/>
        <name val="Arial Narrow"/>
        <scheme val="none"/>
      </font>
      <numFmt numFmtId="2" formatCode="0.00"/>
      <fill>
        <patternFill patternType="solid">
          <bgColor theme="0"/>
        </patternFill>
      </fill>
      <alignment horizontal="center" vertical="center" readingOrder="0"/>
    </dxf>
  </rfmt>
  <rcc rId="7302" sId="26" odxf="1" dxf="1" numFmtId="4">
    <nc r="D19">
      <v>1188.81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03" sId="26" odxf="1" dxf="1" numFmtId="4">
    <nc r="E19">
      <v>1358.64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04" sId="26" odxf="1" dxf="1" numFmtId="4">
    <nc r="F19">
      <v>1543.91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9" start="0" length="0">
    <dxf>
      <font>
        <sz val="11"/>
        <color rgb="FF0000FF"/>
        <name val="Arial Narrow"/>
        <scheme val="none"/>
      </font>
      <fill>
        <patternFill patternType="solid">
          <bgColor theme="0"/>
        </patternFill>
      </fill>
      <alignment vertical="center" readingOrder="0"/>
    </dxf>
  </rfmt>
  <rcc rId="7305" sId="26" odxf="1" dxf="1">
    <nc r="A20" t="inlineStr">
      <is>
        <r>
          <t xml:space="preserve">Гибкая черепица </t>
        </r>
        <r>
          <rPr>
            <b/>
            <sz val="11"/>
            <rFont val="Arial Narrow"/>
            <family val="2"/>
            <charset val="204"/>
          </rPr>
          <t xml:space="preserve">Döcke PIE PREMIUM/ ШЕФФИЛД/ </t>
        </r>
        <r>
          <rPr>
            <sz val="11"/>
            <rFont val="Arial Narrow"/>
            <family val="2"/>
            <charset val="204"/>
          </rPr>
          <t>Бисквит, Кофе, Миндаль, Клубника</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06" sId="26" odxf="1" dxf="1">
    <nc r="B20">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0" start="0" length="0">
    <dxf>
      <font>
        <sz val="11"/>
        <color rgb="FFFF0000"/>
        <name val="Arial Narrow"/>
        <scheme val="none"/>
      </font>
      <numFmt numFmtId="2" formatCode="0.00"/>
      <fill>
        <patternFill patternType="solid">
          <bgColor theme="0"/>
        </patternFill>
      </fill>
      <alignment horizontal="center" vertical="center" readingOrder="0"/>
    </dxf>
  </rfmt>
  <rcc rId="7307" sId="26" odxf="1" dxf="1" numFmtId="4">
    <nc r="D20">
      <v>1224.48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08" sId="26" odxf="1" dxf="1" numFmtId="4">
    <nc r="E20">
      <v>1399.4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09" sId="26" odxf="1" dxf="1" numFmtId="4">
    <nc r="F20">
      <v>1590.23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0" start="0" length="0">
    <dxf>
      <font>
        <sz val="11"/>
        <color rgb="FF0000FF"/>
        <name val="Arial Narrow"/>
        <scheme val="none"/>
      </font>
      <fill>
        <patternFill patternType="solid">
          <bgColor theme="0"/>
        </patternFill>
      </fill>
      <alignment vertical="center" readingOrder="0"/>
    </dxf>
  </rfmt>
  <rcc rId="7310" sId="26" odxf="1" dxf="1">
    <nc r="A21" t="inlineStr">
      <is>
        <r>
          <t>Гибкая черепица</t>
        </r>
        <r>
          <rPr>
            <b/>
            <sz val="11"/>
            <rFont val="Arial Narrow"/>
            <family val="2"/>
            <charset val="204"/>
          </rPr>
          <t xml:space="preserve"> Döcke PIE PREMIUM/ ГРАНАДА/ </t>
        </r>
        <r>
          <rPr>
            <sz val="11"/>
            <rFont val="Arial Narrow"/>
            <family val="2"/>
            <charset val="204"/>
          </rPr>
          <t xml:space="preserve">Какао, Кофе, Кунжут, Инжир </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11" sId="26" odxf="1" dxf="1">
    <nc r="B21">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1" start="0" length="0">
    <dxf>
      <font>
        <sz val="11"/>
        <color rgb="FFFF0000"/>
        <name val="Arial Narrow"/>
        <scheme val="none"/>
      </font>
      <numFmt numFmtId="2" formatCode="0.00"/>
      <fill>
        <patternFill patternType="solid">
          <bgColor theme="0"/>
        </patternFill>
      </fill>
      <alignment horizontal="center" vertical="center" readingOrder="0"/>
    </dxf>
  </rfmt>
  <rcc rId="7312" sId="26" odxf="1" dxf="1" numFmtId="4">
    <nc r="D21">
      <v>1224.48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13" sId="26" odxf="1" dxf="1" numFmtId="4">
    <nc r="E21">
      <v>1399.4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14" sId="26" odxf="1" dxf="1" numFmtId="4">
    <nc r="F21">
      <v>1590.23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1" start="0" length="0">
    <dxf>
      <font>
        <sz val="11"/>
        <color rgb="FF0000FF"/>
        <name val="Arial Narrow"/>
        <scheme val="none"/>
      </font>
      <fill>
        <patternFill patternType="solid">
          <bgColor theme="0"/>
        </patternFill>
      </fill>
      <alignment vertical="center" readingOrder="0"/>
    </dxf>
  </rfmt>
  <rcc rId="7315" sId="26" odxf="1" dxf="1">
    <nc r="A22" t="inlineStr">
      <is>
        <r>
          <t>Гибкая черепица</t>
        </r>
        <r>
          <rPr>
            <b/>
            <sz val="11"/>
            <rFont val="Arial Narrow"/>
            <family val="2"/>
            <charset val="204"/>
          </rPr>
          <t xml:space="preserve"> Döcke PIE PREMIUM/ ГЕНУЯ/ </t>
        </r>
        <r>
          <rPr>
            <sz val="11"/>
            <rFont val="Arial Narrow"/>
            <family val="2"/>
            <charset val="204"/>
          </rPr>
          <t>Амаретто, Трюфель, Канноли, Мускат</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16" sId="26" odxf="1" dxf="1">
    <nc r="B22">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2" start="0" length="0">
    <dxf>
      <font>
        <sz val="11"/>
        <color rgb="FFFF0000"/>
        <name val="Arial Narrow"/>
        <scheme val="none"/>
      </font>
      <numFmt numFmtId="2" formatCode="0.00"/>
      <fill>
        <patternFill patternType="solid">
          <bgColor theme="0"/>
        </patternFill>
      </fill>
      <alignment horizontal="center" vertical="center" readingOrder="0"/>
    </dxf>
  </rfmt>
  <rcc rId="7317" sId="26" odxf="1" dxf="1" numFmtId="4">
    <nc r="D22">
      <v>1224.48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18" sId="26" odxf="1" dxf="1" numFmtId="4">
    <nc r="E22">
      <v>1399.4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19" sId="26" odxf="1" dxf="1" numFmtId="4">
    <nc r="F22">
      <v>1590.23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2" start="0" length="0">
    <dxf>
      <font>
        <sz val="11"/>
        <color rgb="FF0000FF"/>
        <name val="Arial Narrow"/>
        <scheme val="none"/>
      </font>
      <fill>
        <patternFill patternType="solid">
          <bgColor theme="0"/>
        </patternFill>
      </fill>
      <alignment vertical="center" readingOrder="0"/>
    </dxf>
  </rfmt>
  <rcc rId="7320" sId="26" odxf="1" dxf="1">
    <nc r="A23" t="inlineStr">
      <is>
        <r>
          <t xml:space="preserve">Гибкая черепица </t>
        </r>
        <r>
          <rPr>
            <b/>
            <sz val="11"/>
            <rFont val="Arial Narrow"/>
            <family val="2"/>
            <charset val="204"/>
          </rPr>
          <t>Döcke PIE PREMIUM/ ЛЬЕЖ/</t>
        </r>
        <r>
          <rPr>
            <sz val="11"/>
            <rFont val="Arial Narrow"/>
            <family val="2"/>
            <charset val="204"/>
          </rPr>
          <t xml:space="preserve">  Грильяж, Ирис, Барбарис , Изюм</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21" sId="26" odxf="1" dxf="1">
    <nc r="B23">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3" start="0" length="0">
    <dxf>
      <font>
        <sz val="11"/>
        <color auto="1"/>
        <name val="Arial Narrow"/>
        <scheme val="none"/>
      </font>
      <numFmt numFmtId="2" formatCode="0.00"/>
      <fill>
        <patternFill patternType="solid">
          <bgColor theme="0"/>
        </patternFill>
      </fill>
      <alignment horizontal="center" vertical="center" readingOrder="0"/>
    </dxf>
  </rfmt>
  <rcc rId="7322" sId="26" odxf="1" dxf="1" numFmtId="4">
    <nc r="D23">
      <v>1412.67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23" sId="26" odxf="1" dxf="1" numFmtId="4">
    <nc r="E23">
      <v>1614.48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24" sId="26" odxf="1" dxf="1" numFmtId="4">
    <nc r="F23">
      <v>1834.64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3" start="0" length="0">
    <dxf>
      <font>
        <sz val="11"/>
        <color rgb="FF0000FF"/>
        <name val="Arial Narrow"/>
        <scheme val="none"/>
      </font>
      <fill>
        <patternFill patternType="solid">
          <bgColor theme="0"/>
        </patternFill>
      </fill>
      <alignment vertical="center" readingOrder="0"/>
    </dxf>
  </rfmt>
  <rcc rId="7325" sId="26" odxf="1" dxf="1">
    <nc r="A24" t="inlineStr">
      <is>
        <r>
          <t xml:space="preserve">Гибкая черепица </t>
        </r>
        <r>
          <rPr>
            <b/>
            <sz val="11"/>
            <rFont val="Arial Narrow"/>
            <family val="2"/>
            <charset val="204"/>
          </rPr>
          <t>Döcke PIE PREMIUM/ ЦЮРИХ/</t>
        </r>
        <r>
          <rPr>
            <sz val="11"/>
            <rFont val="Arial Narrow"/>
            <family val="2"/>
            <charset val="204"/>
          </rPr>
          <t xml:space="preserve"> Арахис, Кофе, Чили, Фладен, Изюм </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26" sId="26" odxf="1" dxf="1">
    <nc r="B24">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4" start="0" length="0">
    <dxf>
      <font>
        <sz val="11"/>
        <color auto="1"/>
        <name val="Arial Narrow"/>
        <scheme val="none"/>
      </font>
      <numFmt numFmtId="2" formatCode="0.00"/>
      <fill>
        <patternFill patternType="solid">
          <bgColor theme="0"/>
        </patternFill>
      </fill>
      <alignment horizontal="center" vertical="center" readingOrder="0"/>
    </dxf>
  </rfmt>
  <rcc rId="7327" sId="26" odxf="1" dxf="1" numFmtId="4">
    <nc r="D24">
      <v>1479.94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28" sId="26" odxf="1" dxf="1" numFmtId="4">
    <nc r="E24">
      <v>1691.36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29" sId="26" odxf="1" dxf="1" numFmtId="4">
    <nc r="F24">
      <v>1922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4" start="0" length="0">
    <dxf>
      <font>
        <sz val="11"/>
        <color rgb="FFFF0000"/>
        <name val="Arial Narrow"/>
        <scheme val="none"/>
      </font>
      <fill>
        <patternFill patternType="solid">
          <bgColor theme="0"/>
        </patternFill>
      </fill>
      <alignment vertical="center" readingOrder="0"/>
    </dxf>
  </rfmt>
  <rcc rId="7330" sId="26" odxf="1" dxf="1">
    <nc r="A25" t="inlineStr">
      <is>
        <r>
          <t xml:space="preserve">Гибкая черепица </t>
        </r>
        <r>
          <rPr>
            <b/>
            <sz val="11"/>
            <rFont val="Arial Narrow"/>
            <family val="2"/>
            <charset val="204"/>
          </rPr>
          <t xml:space="preserve">Döcke PIE PREMIUM/ ЖЕНЕВА/ </t>
        </r>
        <r>
          <rPr>
            <sz val="11"/>
            <rFont val="Arial Narrow"/>
            <family val="2"/>
            <charset val="204"/>
          </rPr>
          <t xml:space="preserve">Арахис, Кофе, Чили, Фладен, Изюм </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31" sId="26" odxf="1" dxf="1">
    <nc r="B25">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5" start="0" length="0">
    <dxf>
      <font>
        <sz val="11"/>
        <color auto="1"/>
        <name val="Arial Narrow"/>
        <scheme val="none"/>
      </font>
      <numFmt numFmtId="2" formatCode="0.00"/>
      <fill>
        <patternFill patternType="solid">
          <bgColor theme="0"/>
        </patternFill>
      </fill>
      <alignment horizontal="center" vertical="center" readingOrder="0"/>
    </dxf>
  </rfmt>
  <rcc rId="7332" sId="26" odxf="1" dxf="1" numFmtId="4">
    <nc r="D25">
      <v>1535.56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33" sId="26" odxf="1" dxf="1" numFmtId="4">
    <nc r="E25">
      <v>1754.93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34" sId="26" odxf="1" dxf="1" numFmtId="4">
    <nc r="F25">
      <v>1994.24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5" start="0" length="0">
    <dxf>
      <font>
        <sz val="11"/>
        <color rgb="FFFF0000"/>
        <name val="Arial Narrow"/>
        <scheme val="none"/>
      </font>
      <fill>
        <patternFill patternType="solid">
          <bgColor theme="0"/>
        </patternFill>
      </fill>
      <alignment vertical="center" readingOrder="0"/>
    </dxf>
  </rfmt>
  <rcc rId="7335" sId="26" odxf="1" dxf="1">
    <nc r="A26" t="inlineStr">
      <is>
        <r>
          <t>Гибкая черепица</t>
        </r>
        <r>
          <rPr>
            <b/>
            <sz val="11"/>
            <rFont val="Arial Narrow"/>
            <family val="2"/>
            <charset val="204"/>
          </rPr>
          <t xml:space="preserve"> Döcke PIE PREMIUM/ САППОРО/</t>
        </r>
        <r>
          <rPr>
            <sz val="11"/>
            <rFont val="Arial Narrow"/>
            <family val="2"/>
            <charset val="204"/>
          </rPr>
          <t xml:space="preserve"> Вагаси, Кофе, Мускат, Слива</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36" sId="26" odxf="1" dxf="1">
    <nc r="B26">
      <v>2.4</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6" start="0" length="0">
    <dxf>
      <font>
        <sz val="11"/>
        <color auto="1"/>
        <name val="Arial Narrow"/>
        <scheme val="none"/>
      </font>
      <numFmt numFmtId="2" formatCode="0.00"/>
      <fill>
        <patternFill patternType="solid">
          <bgColor theme="0"/>
        </patternFill>
      </fill>
      <alignment horizontal="center" vertical="center" readingOrder="0"/>
    </dxf>
  </rfmt>
  <rcc rId="7337" sId="26" odxf="1" dxf="1" numFmtId="4">
    <nc r="D26">
      <v>1398.57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38" sId="26" odxf="1" dxf="1" numFmtId="4">
    <nc r="E26">
      <v>1598.37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39" sId="26" odxf="1" dxf="1" numFmtId="4">
    <nc r="F26">
      <v>1816.33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6" start="0" length="0">
    <dxf>
      <font>
        <sz val="11"/>
        <color rgb="FF0000FF"/>
        <name val="Arial Narrow"/>
        <scheme val="none"/>
      </font>
      <fill>
        <patternFill patternType="solid">
          <bgColor theme="0"/>
        </patternFill>
      </fill>
      <alignment vertical="center" readingOrder="0"/>
    </dxf>
  </rfmt>
  <rcc rId="7340" sId="26" odxf="1" dxf="1">
    <nc r="A27" t="inlineStr">
      <is>
        <r>
          <rPr>
            <b/>
            <i/>
            <sz val="11"/>
            <rFont val="Arial Narrow"/>
            <family val="2"/>
            <charset val="204"/>
          </rPr>
          <t>Коньково-карнизная черепица</t>
        </r>
        <r>
          <rPr>
            <i/>
            <sz val="11"/>
            <rFont val="Arial Narrow"/>
            <family val="2"/>
            <charset val="204"/>
          </rPr>
          <t xml:space="preserve"> Döcke PIE PREMIUM/ Все цвета</t>
        </r>
      </is>
    </nc>
    <odxf>
      <font>
        <i val="0"/>
        <sz val="11"/>
        <color theme="1"/>
        <name val="Calibri"/>
        <scheme val="minor"/>
      </font>
      <alignment vertical="bottom" readingOrder="0"/>
      <border outline="0">
        <left/>
        <right/>
        <top/>
        <bottom/>
      </border>
    </odxf>
    <ndxf>
      <font>
        <i/>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41" sId="26" odxf="1" dxf="1">
    <nc r="B27">
      <v>11</v>
    </nc>
    <odxf>
      <font>
        <b val="0"/>
        <i val="0"/>
        <sz val="11"/>
        <color theme="1"/>
        <name val="Calibri"/>
        <scheme val="minor"/>
      </font>
      <alignment horizontal="general" vertical="bottom" readingOrder="0"/>
      <border outline="0">
        <left/>
        <right/>
        <top/>
        <bottom/>
      </border>
    </odxf>
    <ndxf>
      <font>
        <b/>
        <i/>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7" start="0" length="0">
    <dxf>
      <font>
        <sz val="11"/>
        <color auto="1"/>
        <name val="Arial Narrow"/>
        <scheme val="none"/>
      </font>
      <numFmt numFmtId="2" formatCode="0.00"/>
      <fill>
        <patternFill patternType="solid">
          <bgColor theme="0"/>
        </patternFill>
      </fill>
      <alignment horizontal="center" vertical="center" readingOrder="0"/>
    </dxf>
  </rfmt>
  <rcc rId="7342" sId="26" odxf="1" dxf="1" numFmtId="4">
    <nc r="D27">
      <v>2585.79</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43" sId="26" odxf="1" dxf="1" numFmtId="4">
    <nc r="E27">
      <v>2955.19</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44" sId="26" odxf="1" dxf="1" numFmtId="4">
    <nc r="F27">
      <v>3358.17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7" start="0" length="0">
    <dxf>
      <font>
        <i/>
        <sz val="11"/>
        <color theme="1"/>
        <name val="Arial Narrow"/>
        <scheme val="none"/>
      </font>
      <fill>
        <patternFill patternType="solid">
          <bgColor theme="0"/>
        </patternFill>
      </fill>
      <alignment vertical="center" readingOrder="0"/>
    </dxf>
  </rfmt>
  <rfmt sheetId="26" sqref="A28" start="0" length="0">
    <dxf>
      <font>
        <sz val="11"/>
        <color auto="1"/>
        <name val="Arial Narrow"/>
        <scheme val="none"/>
      </font>
      <fill>
        <patternFill patternType="solid">
          <bgColor theme="0"/>
        </patternFill>
      </fill>
      <alignment vertical="center" readingOrder="0"/>
    </dxf>
  </rfmt>
  <rfmt sheetId="26" sqref="B28" start="0" length="0">
    <dxf>
      <font>
        <sz val="11"/>
        <color auto="1"/>
        <name val="Arial Narrow"/>
        <scheme val="none"/>
      </font>
      <fill>
        <patternFill patternType="solid">
          <bgColor theme="0"/>
        </patternFill>
      </fill>
      <alignment vertical="center" readingOrder="0"/>
    </dxf>
  </rfmt>
  <rfmt sheetId="26" sqref="C28" start="0" length="0">
    <dxf>
      <font>
        <sz val="11"/>
        <color auto="1"/>
        <name val="Arial Narrow"/>
        <scheme val="none"/>
      </font>
      <fill>
        <patternFill patternType="solid">
          <bgColor theme="0"/>
        </patternFill>
      </fill>
      <alignment vertical="center" readingOrder="0"/>
    </dxf>
  </rfmt>
  <rfmt sheetId="26" sqref="D28" start="0" length="0">
    <dxf>
      <font>
        <i/>
        <sz val="11"/>
        <color auto="1"/>
        <name val="Arial Narrow"/>
        <scheme val="none"/>
      </font>
      <numFmt numFmtId="13" formatCode="0%"/>
      <fill>
        <patternFill patternType="solid">
          <bgColor rgb="FFFFFF99"/>
        </patternFill>
      </fill>
      <alignment vertical="center" readingOrder="0"/>
    </dxf>
  </rfmt>
  <rfmt sheetId="26" sqref="E28" start="0" length="0">
    <dxf>
      <font>
        <sz val="11"/>
        <color auto="1"/>
        <name val="Arial Narrow"/>
        <scheme val="none"/>
      </font>
      <fill>
        <patternFill patternType="solid">
          <bgColor theme="0"/>
        </patternFill>
      </fill>
      <alignment vertical="center" readingOrder="0"/>
    </dxf>
  </rfmt>
  <rfmt sheetId="26" sqref="F28" start="0" length="0">
    <dxf>
      <font>
        <sz val="11"/>
        <color auto="1"/>
        <name val="Arial Narrow"/>
        <scheme val="none"/>
      </font>
      <fill>
        <patternFill patternType="solid">
          <bgColor theme="0"/>
        </patternFill>
      </fill>
      <alignment vertical="center" readingOrder="0"/>
    </dxf>
  </rfmt>
  <rfmt sheetId="26" sqref="G28" start="0" length="0">
    <dxf>
      <font>
        <sz val="11"/>
        <color theme="1"/>
        <name val="Arial Narrow"/>
        <scheme val="none"/>
      </font>
      <fill>
        <patternFill patternType="solid">
          <bgColor theme="0"/>
        </patternFill>
      </fill>
      <alignment vertical="center" readingOrder="0"/>
    </dxf>
  </rfmt>
  <rcc rId="7345" sId="26" odxf="1" dxf="1">
    <nc r="A29" t="inlineStr">
      <is>
        <t>Ендовые ковры Döcke PIE</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346" sId="26" odxf="1" dxf="1">
    <nc r="B29" t="inlineStr">
      <is>
        <t>п.м.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29" start="0" length="0">
    <dxf>
      <font>
        <b/>
        <sz val="11"/>
        <color auto="1"/>
        <name val="Arial Narrow"/>
        <scheme val="none"/>
      </font>
      <numFmt numFmtId="2" formatCode="0.00"/>
      <fill>
        <patternFill patternType="solid">
          <bgColor theme="0"/>
        </patternFill>
      </fill>
      <alignment horizontal="center" vertical="center" readingOrder="0"/>
    </dxf>
  </rfmt>
  <rfmt sheetId="26" sqref="D29"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29" start="0" length="0">
    <dxf>
      <fill>
        <patternFill patternType="solid">
          <bgColor rgb="FFFFFF00"/>
        </patternFill>
      </fill>
      <alignment vertical="center" wrapText="1" readingOrder="0"/>
      <border outline="0">
        <top style="thin">
          <color indexed="64"/>
        </top>
        <bottom style="double">
          <color indexed="64"/>
        </bottom>
      </border>
    </dxf>
  </rfmt>
  <rfmt sheetId="26" sqref="F29"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29" start="0" length="0">
    <dxf>
      <font>
        <b/>
        <sz val="11"/>
        <color theme="1"/>
        <name val="Arial Narrow"/>
        <scheme val="none"/>
      </font>
      <fill>
        <patternFill patternType="solid">
          <bgColor theme="0"/>
        </patternFill>
      </fill>
      <alignment vertical="center" readingOrder="0"/>
    </dxf>
  </rfmt>
  <rcc rId="7347" sId="26" odxf="1" dxf="1">
    <nc r="A30" t="inlineStr">
      <is>
        <r>
          <rPr>
            <b/>
            <sz val="11"/>
            <rFont val="Arial Narrow"/>
            <family val="2"/>
            <charset val="204"/>
          </rPr>
          <t>Ендовый ковер</t>
        </r>
        <r>
          <rPr>
            <sz val="11"/>
            <rFont val="Arial Narrow"/>
            <family val="2"/>
            <charset val="204"/>
          </rPr>
          <t xml:space="preserve"> Döcke PIE/ 1000/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348" sId="26" odxf="1" dxf="1">
    <nc r="B30">
      <v>10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0" start="0" length="0">
    <dxf>
      <font>
        <sz val="11"/>
        <color auto="1"/>
        <name val="Arial Narrow"/>
        <scheme val="none"/>
      </font>
      <fill>
        <patternFill patternType="solid">
          <bgColor theme="0"/>
        </patternFill>
      </fill>
      <alignment vertical="center" readingOrder="0"/>
    </dxf>
  </rfmt>
  <rcc rId="7349" sId="26" odxf="1" dxf="1" numFmtId="4">
    <nc r="D30">
      <v>3476.67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50" sId="26" odxf="1" dxf="1" numFmtId="4">
    <nc r="E30">
      <v>4063.64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51" sId="26" odxf="1" dxf="1" numFmtId="4">
    <nc r="F30">
      <v>4515.1499999999996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0" start="0" length="0">
    <dxf>
      <font>
        <sz val="11"/>
        <color theme="1"/>
        <name val="Arial Narrow"/>
        <scheme val="none"/>
      </font>
      <fill>
        <patternFill patternType="solid">
          <bgColor theme="0"/>
        </patternFill>
      </fill>
      <alignment vertical="center" readingOrder="0"/>
    </dxf>
  </rfmt>
  <rfmt sheetId="26" sqref="A31" start="0" length="0">
    <dxf>
      <font>
        <sz val="11"/>
        <color auto="1"/>
        <name val="Arial Narrow"/>
        <scheme val="none"/>
      </font>
      <fill>
        <patternFill patternType="solid">
          <bgColor theme="0"/>
        </patternFill>
      </fill>
      <alignment vertical="center" readingOrder="0"/>
    </dxf>
  </rfmt>
  <rfmt sheetId="26" sqref="B31" start="0" length="0">
    <dxf>
      <font>
        <sz val="11"/>
        <color auto="1"/>
        <name val="Arial Narrow"/>
        <scheme val="none"/>
      </font>
      <fill>
        <patternFill patternType="solid">
          <bgColor theme="0"/>
        </patternFill>
      </fill>
      <alignment vertical="center" readingOrder="0"/>
    </dxf>
  </rfmt>
  <rfmt sheetId="26" sqref="C31" start="0" length="0">
    <dxf>
      <font>
        <sz val="11"/>
        <color auto="1"/>
        <name val="Arial Narrow"/>
        <scheme val="none"/>
      </font>
      <fill>
        <patternFill patternType="solid">
          <bgColor theme="0"/>
        </patternFill>
      </fill>
      <alignment vertical="center" readingOrder="0"/>
    </dxf>
  </rfmt>
  <rfmt sheetId="26" sqref="D31" start="0" length="0">
    <dxf>
      <font>
        <sz val="11"/>
        <color auto="1"/>
        <name val="Arial Narrow"/>
        <scheme val="none"/>
      </font>
      <fill>
        <patternFill patternType="solid">
          <bgColor rgb="FFFFFF99"/>
        </patternFill>
      </fill>
      <alignment vertical="center" readingOrder="0"/>
    </dxf>
  </rfmt>
  <rfmt sheetId="26" sqref="E31" start="0" length="0">
    <dxf>
      <font>
        <sz val="11"/>
        <color auto="1"/>
        <name val="Arial Narrow"/>
        <scheme val="none"/>
      </font>
      <fill>
        <patternFill patternType="solid">
          <bgColor theme="0"/>
        </patternFill>
      </fill>
      <alignment vertical="center" readingOrder="0"/>
    </dxf>
  </rfmt>
  <rfmt sheetId="26" sqref="F31" start="0" length="0">
    <dxf>
      <font>
        <sz val="11"/>
        <color auto="1"/>
        <name val="Arial Narrow"/>
        <scheme val="none"/>
      </font>
      <fill>
        <patternFill patternType="solid">
          <bgColor theme="0"/>
        </patternFill>
      </fill>
      <alignment vertical="center" readingOrder="0"/>
    </dxf>
  </rfmt>
  <rfmt sheetId="26" sqref="G31" start="0" length="0">
    <dxf>
      <font>
        <sz val="11"/>
        <color theme="1"/>
        <name val="Arial Narrow"/>
        <scheme val="none"/>
      </font>
      <fill>
        <patternFill patternType="solid">
          <bgColor theme="0"/>
        </patternFill>
      </fill>
      <alignment vertical="center" readingOrder="0"/>
    </dxf>
  </rfmt>
  <rcc rId="7352" sId="26" odxf="1" dxf="1">
    <nc r="A32" t="inlineStr">
      <is>
        <t>Подкладочные ковры</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353" sId="26" odxf="1" dxf="1">
    <nc r="B32" t="inlineStr">
      <is>
        <t>кв.м.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32" start="0" length="0">
    <dxf>
      <font>
        <b/>
        <sz val="11"/>
        <color auto="1"/>
        <name val="Arial Narrow"/>
        <scheme val="none"/>
      </font>
      <numFmt numFmtId="2" formatCode="0.00"/>
      <fill>
        <patternFill patternType="solid">
          <bgColor theme="0"/>
        </patternFill>
      </fill>
      <alignment horizontal="center" vertical="center" readingOrder="0"/>
    </dxf>
  </rfmt>
  <rfmt sheetId="26" sqref="D32"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32" start="0" length="0">
    <dxf>
      <fill>
        <patternFill patternType="solid">
          <bgColor rgb="FFFFFF00"/>
        </patternFill>
      </fill>
      <alignment vertical="center" wrapText="1" readingOrder="0"/>
      <border outline="0">
        <top style="thin">
          <color indexed="64"/>
        </top>
        <bottom style="double">
          <color indexed="64"/>
        </bottom>
      </border>
    </dxf>
  </rfmt>
  <rfmt sheetId="26" sqref="F32"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32" start="0" length="0">
    <dxf>
      <font>
        <b/>
        <sz val="11"/>
        <color theme="1"/>
        <name val="Arial Narrow"/>
        <scheme val="none"/>
      </font>
      <fill>
        <patternFill patternType="solid">
          <bgColor theme="0"/>
        </patternFill>
      </fill>
      <alignment vertical="center" readingOrder="0"/>
    </dxf>
  </rfmt>
  <rcc rId="7354" sId="26" odxf="1" dxf="1">
    <nc r="A33" t="inlineStr">
      <is>
        <r>
          <t>Подкладочный</t>
        </r>
        <r>
          <rPr>
            <b/>
            <sz val="11"/>
            <rFont val="Arial Narrow"/>
            <family val="2"/>
            <charset val="204"/>
          </rPr>
          <t xml:space="preserve"> ковер STANDARD </t>
        </r>
        <r>
          <rPr>
            <sz val="11"/>
            <rFont val="Arial Narrow"/>
            <family val="2"/>
            <charset val="204"/>
          </rPr>
          <t>, 15 м</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355" sId="26" odxf="1" dxf="1">
    <nc r="B33">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3" start="0" length="0">
    <dxf>
      <font>
        <sz val="11"/>
        <color auto="1"/>
        <name val="Arial Narrow"/>
        <scheme val="none"/>
      </font>
      <fill>
        <patternFill patternType="solid">
          <bgColor theme="0"/>
        </patternFill>
      </fill>
      <alignment vertical="center" readingOrder="0"/>
    </dxf>
  </rfmt>
  <rcc rId="7356" sId="26" odxf="1" dxf="1" numFmtId="4">
    <nc r="D33">
      <v>862.05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57" sId="26" odxf="1" dxf="1" numFmtId="4">
    <nc r="E33">
      <v>1007.59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58" sId="26" odxf="1" dxf="1" numFmtId="4">
    <nc r="F33">
      <v>1119.55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3" start="0" length="0">
    <dxf>
      <font>
        <sz val="11"/>
        <color theme="1"/>
        <name val="Arial Narrow"/>
        <scheme val="none"/>
      </font>
      <fill>
        <patternFill patternType="solid">
          <bgColor theme="0"/>
        </patternFill>
      </fill>
      <alignment vertical="center" readingOrder="0"/>
    </dxf>
  </rfmt>
  <rcc rId="7359" sId="26" odxf="1" dxf="1">
    <nc r="A34" t="inlineStr">
      <is>
        <r>
          <t>Подкладочный</t>
        </r>
        <r>
          <rPr>
            <b/>
            <sz val="11"/>
            <rFont val="Arial Narrow"/>
            <family val="2"/>
            <charset val="204"/>
          </rPr>
          <t xml:space="preserve"> ковер STANDARD PLUS</t>
        </r>
        <r>
          <rPr>
            <sz val="11"/>
            <rFont val="Arial Narrow"/>
            <family val="2"/>
            <charset val="204"/>
          </rPr>
          <t xml:space="preserve"> , 15 м</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60" sId="26" odxf="1" dxf="1">
    <nc r="B34">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4" start="0" length="0">
    <dxf>
      <font>
        <sz val="11"/>
        <color auto="1"/>
        <name val="Arial Narrow"/>
        <scheme val="none"/>
      </font>
      <numFmt numFmtId="2" formatCode="0.00"/>
      <fill>
        <patternFill patternType="solid">
          <bgColor theme="0"/>
        </patternFill>
      </fill>
      <alignment horizontal="center" vertical="center" readingOrder="0"/>
    </dxf>
  </rfmt>
  <rcc rId="7361" sId="26" odxf="1" dxf="1" numFmtId="4">
    <nc r="D34">
      <v>909.13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62" sId="26" odxf="1" dxf="1" numFmtId="4">
    <nc r="E34">
      <v>1062.6099999999999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63" sId="26" odxf="1" dxf="1" numFmtId="4">
    <nc r="F34">
      <v>1180.68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4" start="0" length="0">
    <dxf>
      <font>
        <sz val="11"/>
        <color rgb="FF0000FF"/>
        <name val="Arial Narrow"/>
        <scheme val="none"/>
      </font>
      <fill>
        <patternFill patternType="solid">
          <bgColor theme="0"/>
        </patternFill>
      </fill>
      <alignment vertical="center" readingOrder="0"/>
    </dxf>
  </rfmt>
  <rcc rId="7364" sId="26" odxf="1" dxf="1">
    <nc r="A35" t="inlineStr">
      <is>
        <r>
          <t xml:space="preserve">Подкладочный </t>
        </r>
        <r>
          <rPr>
            <b/>
            <sz val="11"/>
            <rFont val="Arial Narrow"/>
            <family val="2"/>
            <charset val="204"/>
          </rPr>
          <t>ковер СOMFORT GLASS</t>
        </r>
        <r>
          <rPr>
            <sz val="11"/>
            <rFont val="Arial Narrow"/>
            <family val="2"/>
            <charset val="204"/>
          </rPr>
          <t>, 30 м,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65" sId="26" odxf="1" dxf="1">
    <nc r="B35">
      <v>30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5" start="0" length="0">
    <dxf>
      <font>
        <sz val="11"/>
        <color auto="1"/>
        <name val="Arial Narrow"/>
        <scheme val="none"/>
      </font>
      <numFmt numFmtId="2" formatCode="0.00"/>
      <fill>
        <patternFill patternType="solid">
          <bgColor theme="0"/>
        </patternFill>
      </fill>
      <alignment horizontal="center" vertical="center" readingOrder="0"/>
    </dxf>
  </rfmt>
  <rcc rId="7366" sId="26" odxf="1" dxf="1" numFmtId="4">
    <nc r="D35">
      <v>2241.75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67" sId="26" odxf="1" dxf="1" numFmtId="4">
    <nc r="E35">
      <v>2620.23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68" sId="26" odxf="1" dxf="1" numFmtId="4">
    <nc r="F35">
      <v>2911.36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5" start="0" length="0">
    <dxf>
      <font>
        <sz val="11"/>
        <color rgb="FF0000FF"/>
        <name val="Arial Narrow"/>
        <scheme val="none"/>
      </font>
      <fill>
        <patternFill patternType="solid">
          <bgColor theme="0"/>
        </patternFill>
      </fill>
      <alignment vertical="center" readingOrder="0"/>
    </dxf>
  </rfmt>
  <rcc rId="7369" sId="26" odxf="1" dxf="1">
    <nc r="A36" t="inlineStr">
      <is>
        <r>
          <t xml:space="preserve">Подкладочный </t>
        </r>
        <r>
          <rPr>
            <b/>
            <sz val="11"/>
            <rFont val="Arial Narrow"/>
            <family val="2"/>
            <charset val="204"/>
          </rPr>
          <t>ковер СOMFORT GLASS</t>
        </r>
        <r>
          <rPr>
            <sz val="11"/>
            <rFont val="Arial Narrow"/>
            <family val="2"/>
            <charset val="204"/>
          </rPr>
          <t>, 15 м,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70" sId="26" odxf="1" dxf="1">
    <nc r="B36">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6" start="0" length="0">
    <dxf>
      <font>
        <sz val="11"/>
        <color auto="1"/>
        <name val="Arial Narrow"/>
        <scheme val="none"/>
      </font>
      <numFmt numFmtId="2" formatCode="0.00"/>
      <fill>
        <patternFill patternType="solid">
          <bgColor theme="0"/>
        </patternFill>
      </fill>
      <alignment horizontal="center" vertical="center" readingOrder="0"/>
    </dxf>
  </rfmt>
  <rcc rId="7371" sId="26" odxf="1" dxf="1" numFmtId="4">
    <nc r="D36">
      <v>1120.8800000000001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72" sId="26" odxf="1" dxf="1" numFmtId="4">
    <nc r="E36">
      <v>1310.1099999999999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73" sId="26" odxf="1" dxf="1" numFmtId="4">
    <nc r="F36">
      <v>1455.68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6" start="0" length="0">
    <dxf>
      <font>
        <sz val="11"/>
        <color rgb="FF0000FF"/>
        <name val="Arial Narrow"/>
        <scheme val="none"/>
      </font>
      <fill>
        <patternFill patternType="solid">
          <bgColor theme="0"/>
        </patternFill>
      </fill>
      <alignment vertical="center" readingOrder="0"/>
    </dxf>
  </rfmt>
  <rcc rId="7374" sId="26" odxf="1" dxf="1">
    <nc r="A37" t="inlineStr">
      <is>
        <r>
          <t xml:space="preserve">Подкладочный </t>
        </r>
        <r>
          <rPr>
            <b/>
            <sz val="11"/>
            <rFont val="Arial Narrow"/>
            <family val="2"/>
            <charset val="204"/>
          </rPr>
          <t>ковер СOMFORT</t>
        </r>
        <r>
          <rPr>
            <sz val="11"/>
            <rFont val="Arial Narrow"/>
            <family val="2"/>
            <charset val="204"/>
          </rPr>
          <t>, 40 м,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75" sId="26" odxf="1" dxf="1">
    <nc r="B37">
      <v>40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7" start="0" length="0">
    <dxf>
      <font>
        <sz val="11"/>
        <color auto="1"/>
        <name val="Arial Narrow"/>
        <scheme val="none"/>
      </font>
      <numFmt numFmtId="2" formatCode="0.00"/>
      <fill>
        <patternFill patternType="solid">
          <bgColor theme="0"/>
        </patternFill>
      </fill>
      <alignment horizontal="center" vertical="center" readingOrder="0"/>
    </dxf>
  </rfmt>
  <rcc rId="7376" sId="26" odxf="1" dxf="1" numFmtId="4">
    <nc r="D37">
      <v>3634.4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77" sId="26" odxf="1" dxf="1" numFmtId="4">
    <nc r="E37">
      <v>4248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78" sId="26" odxf="1" dxf="1" numFmtId="4">
    <nc r="F37">
      <v>4720</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7" start="0" length="0">
    <dxf>
      <font>
        <sz val="11"/>
        <color rgb="FF0000FF"/>
        <name val="Arial Narrow"/>
        <scheme val="none"/>
      </font>
      <fill>
        <patternFill patternType="solid">
          <bgColor theme="0"/>
        </patternFill>
      </fill>
      <alignment vertical="center" readingOrder="0"/>
    </dxf>
  </rfmt>
  <rcc rId="7379" sId="26" odxf="1" dxf="1">
    <nc r="A38" t="inlineStr">
      <is>
        <r>
          <t xml:space="preserve">Подкладочный </t>
        </r>
        <r>
          <rPr>
            <b/>
            <sz val="11"/>
            <rFont val="Arial Narrow"/>
            <family val="2"/>
            <charset val="204"/>
          </rPr>
          <t>ковёр FIX GLASS</t>
        </r>
        <r>
          <rPr>
            <sz val="11"/>
            <rFont val="Arial Narrow"/>
            <family val="2"/>
            <charset val="204"/>
          </rPr>
          <t>, 30 м, самоклеящийся,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80" sId="26" odxf="1" dxf="1">
    <nc r="B38">
      <v>30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8" start="0" length="0">
    <dxf>
      <font>
        <sz val="11"/>
        <color auto="1"/>
        <name val="Arial Narrow"/>
        <scheme val="none"/>
      </font>
      <numFmt numFmtId="2" formatCode="0.00"/>
      <fill>
        <patternFill patternType="solid">
          <bgColor theme="0"/>
        </patternFill>
      </fill>
      <alignment horizontal="center" vertical="center" readingOrder="0"/>
    </dxf>
  </rfmt>
  <rcc rId="7381" sId="26" odxf="1" dxf="1" numFmtId="4">
    <nc r="D38">
      <v>3636.15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82" sId="26" odxf="1" dxf="1" numFmtId="4">
    <nc r="E38">
      <v>4250.05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83" sId="26" odxf="1" dxf="1" numFmtId="4">
    <nc r="F38">
      <v>4722.2700000000004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8" start="0" length="0">
    <dxf>
      <font>
        <sz val="11"/>
        <color rgb="FF0000FF"/>
        <name val="Arial Narrow"/>
        <scheme val="none"/>
      </font>
      <fill>
        <patternFill patternType="solid">
          <bgColor theme="0"/>
        </patternFill>
      </fill>
      <alignment vertical="center" readingOrder="0"/>
    </dxf>
  </rfmt>
  <rcc rId="7384" sId="26" odxf="1" dxf="1">
    <nc r="A39" t="inlineStr">
      <is>
        <r>
          <t>Подкладочный</t>
        </r>
        <r>
          <rPr>
            <b/>
            <sz val="11"/>
            <rFont val="Arial Narrow"/>
            <family val="2"/>
            <charset val="204"/>
          </rPr>
          <t xml:space="preserve"> ковёр FIX PLAST</t>
        </r>
        <r>
          <rPr>
            <sz val="11"/>
            <rFont val="Arial Narrow"/>
            <family val="2"/>
            <charset val="204"/>
          </rPr>
          <t>, 15 м, самоклеящийся,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85" sId="26" odxf="1" dxf="1">
    <nc r="B39">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9" start="0" length="0">
    <dxf>
      <font>
        <sz val="11"/>
        <color auto="1"/>
        <name val="Arial Narrow"/>
        <scheme val="none"/>
      </font>
      <numFmt numFmtId="2" formatCode="0.00"/>
      <fill>
        <patternFill patternType="solid">
          <bgColor theme="0"/>
        </patternFill>
      </fill>
      <alignment horizontal="center" vertical="center" readingOrder="0"/>
    </dxf>
  </rfmt>
  <rcc rId="7386" sId="26" odxf="1" dxf="1" numFmtId="4">
    <nc r="D39">
      <v>2342.9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87" sId="26" odxf="1" dxf="1" numFmtId="4">
    <nc r="E39">
      <v>2738.45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88" sId="26" odxf="1" dxf="1" numFmtId="4">
    <nc r="F39">
      <v>3042.73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9" start="0" length="0">
    <dxf>
      <font>
        <sz val="11"/>
        <color rgb="FF0000FF"/>
        <name val="Arial Narrow"/>
        <scheme val="none"/>
      </font>
      <fill>
        <patternFill patternType="solid">
          <bgColor theme="0"/>
        </patternFill>
      </fill>
      <alignment vertical="center" readingOrder="0"/>
    </dxf>
  </rfmt>
  <rfmt sheetId="26" sqref="A40" start="0" length="0">
    <dxf>
      <font>
        <sz val="11"/>
        <color auto="1"/>
        <name val="Arial Narrow"/>
        <scheme val="none"/>
      </font>
      <fill>
        <patternFill patternType="solid">
          <bgColor theme="0"/>
        </patternFill>
      </fill>
      <alignment vertical="center" readingOrder="0"/>
    </dxf>
  </rfmt>
  <rfmt sheetId="26" sqref="B40" start="0" length="0">
    <dxf>
      <font>
        <sz val="11"/>
        <color auto="1"/>
        <name val="Arial Narrow"/>
        <scheme val="none"/>
      </font>
      <fill>
        <patternFill patternType="solid">
          <bgColor theme="0"/>
        </patternFill>
      </fill>
      <alignment vertical="center" readingOrder="0"/>
    </dxf>
  </rfmt>
  <rfmt sheetId="26" sqref="C40" start="0" length="0">
    <dxf>
      <font>
        <sz val="11"/>
        <color auto="1"/>
        <name val="Arial Narrow"/>
        <scheme val="none"/>
      </font>
      <fill>
        <patternFill patternType="solid">
          <bgColor theme="0"/>
        </patternFill>
      </fill>
      <alignment vertical="center" readingOrder="0"/>
    </dxf>
  </rfmt>
  <rfmt sheetId="26" sqref="D40" start="0" length="0">
    <dxf>
      <font>
        <sz val="11"/>
        <color auto="1"/>
        <name val="Arial Narrow"/>
        <scheme val="none"/>
      </font>
      <fill>
        <patternFill patternType="solid">
          <bgColor rgb="FFFFFF99"/>
        </patternFill>
      </fill>
      <alignment vertical="center" readingOrder="0"/>
    </dxf>
  </rfmt>
  <rfmt sheetId="26" sqref="E40" start="0" length="0">
    <dxf>
      <font>
        <sz val="11"/>
        <color auto="1"/>
        <name val="Arial Narrow"/>
        <scheme val="none"/>
      </font>
      <fill>
        <patternFill patternType="solid">
          <bgColor theme="0"/>
        </patternFill>
      </fill>
      <alignment vertical="center" readingOrder="0"/>
    </dxf>
  </rfmt>
  <rfmt sheetId="26" sqref="F40" start="0" length="0">
    <dxf>
      <font>
        <sz val="11"/>
        <color auto="1"/>
        <name val="Arial Narrow"/>
        <scheme val="none"/>
      </font>
      <fill>
        <patternFill patternType="solid">
          <bgColor theme="0"/>
        </patternFill>
      </fill>
      <alignment vertical="center" readingOrder="0"/>
    </dxf>
  </rfmt>
  <rfmt sheetId="26" sqref="G40" start="0" length="0">
    <dxf>
      <font>
        <sz val="11"/>
        <color theme="1"/>
        <name val="Arial Narrow"/>
        <scheme val="none"/>
      </font>
      <fill>
        <patternFill patternType="solid">
          <bgColor theme="0"/>
        </patternFill>
      </fill>
      <alignment vertical="center" readingOrder="0"/>
    </dxf>
  </rfmt>
  <rcc rId="7389" sId="26" odxf="1" dxf="1">
    <nc r="A41" t="inlineStr">
      <is>
        <t>Комплектующие</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390" sId="26" odxf="1" dxf="1">
    <nc r="B41" t="inlineStr">
      <is>
        <t>л/ кг/ шт.</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41" start="0" length="0">
    <dxf>
      <font>
        <b/>
        <sz val="11"/>
        <color auto="1"/>
        <name val="Arial Narrow"/>
        <scheme val="none"/>
      </font>
      <numFmt numFmtId="2" formatCode="0.00"/>
      <fill>
        <patternFill patternType="solid">
          <bgColor theme="0"/>
        </patternFill>
      </fill>
      <alignment horizontal="center" vertical="center" readingOrder="0"/>
    </dxf>
  </rfmt>
  <rfmt sheetId="26" sqref="D41"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41" start="0" length="0">
    <dxf>
      <fill>
        <patternFill patternType="solid">
          <bgColor rgb="FFFFFF00"/>
        </patternFill>
      </fill>
      <alignment vertical="center" wrapText="1" readingOrder="0"/>
      <border outline="0">
        <top style="thin">
          <color indexed="64"/>
        </top>
        <bottom style="double">
          <color indexed="64"/>
        </bottom>
      </border>
    </dxf>
  </rfmt>
  <rfmt sheetId="26" sqref="F41"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41" start="0" length="0">
    <dxf>
      <font>
        <b/>
        <sz val="11"/>
        <color theme="1"/>
        <name val="Arial Narrow"/>
        <scheme val="none"/>
      </font>
      <fill>
        <patternFill patternType="solid">
          <bgColor theme="0"/>
        </patternFill>
      </fill>
      <alignment vertical="center" readingOrder="0"/>
    </dxf>
  </rfmt>
  <rcc rId="7391" sId="26" odxf="1" dxf="1">
    <nc r="A42" t="inlineStr">
      <is>
        <t>Мастика для гибкой черепицы, 0,29 л</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392" sId="26" odxf="1" dxf="1">
    <nc r="B42">
      <v>0.28999999999999998</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2" start="0" length="0">
    <dxf>
      <font>
        <sz val="11"/>
        <color auto="1"/>
        <name val="Arial Narrow"/>
        <scheme val="none"/>
      </font>
      <fill>
        <patternFill patternType="solid">
          <bgColor theme="0"/>
        </patternFill>
      </fill>
      <alignment vertical="center" readingOrder="0"/>
    </dxf>
  </rfmt>
  <rcc rId="7393" sId="26" odxf="1" dxf="1" numFmtId="4">
    <nc r="D42">
      <v>110.41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94" sId="26" odxf="1" dxf="1" numFmtId="4">
    <nc r="E42">
      <v>129.05000000000001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95" sId="26" odxf="1" dxf="1" numFmtId="4">
    <nc r="F42">
      <v>143.38999999999999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2" start="0" length="0">
    <dxf>
      <font>
        <sz val="11"/>
        <color theme="1"/>
        <name val="Arial Narrow"/>
        <scheme val="none"/>
      </font>
      <fill>
        <patternFill patternType="solid">
          <bgColor theme="0"/>
        </patternFill>
      </fill>
      <alignment vertical="center" readingOrder="0"/>
    </dxf>
  </rfmt>
  <rcc rId="7396" sId="26" odxf="1" dxf="1">
    <nc r="A43" t="inlineStr">
      <is>
        <t>Мастика для гибкой черепицы, 5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97" sId="26" odxf="1" dxf="1">
    <nc r="B43">
      <v>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3" start="0" length="0">
    <dxf>
      <font>
        <sz val="11"/>
        <color auto="1"/>
        <name val="Arial Narrow"/>
        <scheme val="none"/>
      </font>
      <fill>
        <patternFill patternType="solid">
          <bgColor theme="0"/>
        </patternFill>
      </fill>
      <alignment vertical="center" readingOrder="0"/>
    </dxf>
  </rfmt>
  <rcc rId="7398" sId="26" odxf="1" dxf="1" numFmtId="4">
    <nc r="D43">
      <v>676.9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99" sId="26" odxf="1" dxf="1" numFmtId="4">
    <nc r="E43">
      <v>791.18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00" sId="26" odxf="1" dxf="1" numFmtId="4">
    <nc r="F43">
      <v>879.09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3" start="0" length="0">
    <dxf>
      <font>
        <sz val="11"/>
        <color theme="1"/>
        <name val="Arial Narrow"/>
        <scheme val="none"/>
      </font>
      <fill>
        <patternFill patternType="solid">
          <bgColor theme="0"/>
        </patternFill>
      </fill>
      <alignment vertical="center" readingOrder="0"/>
    </dxf>
  </rfmt>
  <rcc rId="7401" sId="26" odxf="1" dxf="1">
    <nc r="A44" t="inlineStr">
      <is>
        <t>Мастика для гибкой черепицы, 10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402" sId="26" odxf="1" dxf="1">
    <nc r="B44">
      <v>10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4" start="0" length="0">
    <dxf>
      <font>
        <sz val="11"/>
        <color auto="1"/>
        <name val="Arial Narrow"/>
        <scheme val="none"/>
      </font>
      <fill>
        <patternFill patternType="solid">
          <bgColor theme="0"/>
        </patternFill>
      </fill>
      <alignment vertical="center" readingOrder="0"/>
    </dxf>
  </rfmt>
  <rcc rId="7403" sId="26" odxf="1" dxf="1" numFmtId="4">
    <nc r="D44">
      <v>1314.25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404" sId="26" odxf="1" dxf="1" numFmtId="4">
    <nc r="E44">
      <v>1536.14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05" sId="26" odxf="1" dxf="1" numFmtId="4">
    <nc r="F44">
      <v>1706.82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4" start="0" length="0">
    <dxf>
      <font>
        <sz val="11"/>
        <color theme="1"/>
        <name val="Arial Narrow"/>
        <scheme val="none"/>
      </font>
      <fill>
        <patternFill patternType="solid">
          <bgColor theme="0"/>
        </patternFill>
      </fill>
      <alignment vertical="center" readingOrder="0"/>
    </dxf>
  </rfmt>
  <rcc rId="7406" sId="26" odxf="1" dxf="1">
    <nc r="A45" t="inlineStr">
      <is>
        <t>Гвозди кровельные оцинкованные ершённые, 5 кг</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407" sId="26" odxf="1" dxf="1">
    <nc r="B45">
      <v>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5" start="0" length="0">
    <dxf>
      <font>
        <sz val="11"/>
        <color auto="1"/>
        <name val="Arial Narrow"/>
        <scheme val="none"/>
      </font>
      <fill>
        <patternFill patternType="solid">
          <bgColor theme="0"/>
        </patternFill>
      </fill>
      <alignment vertical="center" readingOrder="0"/>
    </dxf>
  </rfmt>
  <rcc rId="7408" sId="26" odxf="1" dxf="1" numFmtId="4">
    <nc r="D45">
      <v>710.85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409" sId="26" odxf="1" dxf="1" numFmtId="4">
    <nc r="E45">
      <v>830.86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10" sId="26" odxf="1" dxf="1" numFmtId="4">
    <nc r="F45">
      <v>923.18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5" start="0" length="0">
    <dxf>
      <font>
        <sz val="11"/>
        <color theme="1"/>
        <name val="Arial Narrow"/>
        <scheme val="none"/>
      </font>
      <fill>
        <patternFill patternType="solid">
          <bgColor theme="0"/>
        </patternFill>
      </fill>
      <alignment vertical="center" readingOrder="0"/>
    </dxf>
  </rfmt>
  <rcc rId="7411" sId="26" odxf="1" dxf="1">
    <nc r="A46" t="inlineStr">
      <is>
        <t>Снегозадержатели Döcke, цвет ШОКОЛАД, шт.</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412" sId="26" odxf="1" dxf="1">
    <nc r="B46">
      <v>90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6" start="0" length="0">
    <dxf>
      <font>
        <sz val="11"/>
        <color auto="1"/>
        <name val="Arial Narrow"/>
        <scheme val="none"/>
      </font>
      <fill>
        <patternFill patternType="solid">
          <bgColor theme="0"/>
        </patternFill>
      </fill>
      <alignment vertical="center" readingOrder="0"/>
    </dxf>
  </rfmt>
  <rcc rId="7413" sId="26" odxf="1" dxf="1" numFmtId="4">
    <nc r="D46">
      <v>2924.25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414" sId="26" odxf="1" dxf="1" numFmtId="4">
    <nc r="E46">
      <v>3417.95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15" sId="26" odxf="1" dxf="1" numFmtId="4">
    <nc r="F46">
      <v>3797.73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6" start="0" length="0">
    <dxf>
      <font>
        <sz val="11"/>
        <color theme="1"/>
        <name val="Arial Narrow"/>
        <scheme val="none"/>
      </font>
      <fill>
        <patternFill patternType="solid">
          <bgColor theme="0"/>
        </patternFill>
      </fill>
      <alignment vertical="center" readingOrder="0"/>
    </dxf>
  </rfmt>
  <rcc rId="7416" sId="26" odxf="1" dxf="1">
    <nc r="A47" t="inlineStr">
      <is>
        <t>Прайс-лист для Воронежской, Белгородской, Курской, Липецкой, Тамбовской, Орловской обасти !!!!!!!!!</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00"/>
        </patternFill>
      </fill>
      <alignment horizontal="left" vertical="center" readingOrder="0"/>
      <border outline="0">
        <left style="medium">
          <color indexed="64"/>
        </left>
        <right style="medium">
          <color indexed="64"/>
        </right>
        <top style="medium">
          <color indexed="64"/>
        </top>
        <bottom style="medium">
          <color indexed="64"/>
        </bottom>
      </border>
    </ndxf>
  </rcc>
  <rfmt sheetId="26" sqref="B47" start="0" length="0">
    <dxf>
      <alignment vertical="center" wrapText="1" readingOrder="0"/>
    </dxf>
  </rfmt>
  <rfmt sheetId="26" sqref="C47" start="0" length="0">
    <dxf>
      <alignment vertical="center" wrapText="1" readingOrder="0"/>
    </dxf>
  </rfmt>
  <rcc rId="7417" sId="26" odxf="1" dxf="1">
    <nc r="D47"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1"/>
        <color auto="1"/>
        <name val="Arial Narrow"/>
        <scheme val="none"/>
      </font>
      <fill>
        <patternFill patternType="solid">
          <bgColor rgb="FFFFFF00"/>
        </patternFill>
      </fill>
      <alignment horizontal="left" vertical="center" wrapText="1" readingOrder="0"/>
      <border outline="0">
        <top style="thin">
          <color indexed="64"/>
        </top>
      </border>
    </ndxf>
  </rcc>
  <rfmt sheetId="26" sqref="E47" start="0" length="0">
    <dxf>
      <fill>
        <patternFill patternType="solid">
          <bgColor rgb="FFFFFF00"/>
        </patternFill>
      </fill>
      <alignment vertical="center" wrapText="1" readingOrder="0"/>
      <border outline="0">
        <top style="thin">
          <color indexed="64"/>
        </top>
      </border>
    </dxf>
  </rfmt>
  <rfmt sheetId="26" sqref="F47" start="0" length="0">
    <dxf>
      <fill>
        <patternFill patternType="solid">
          <bgColor rgb="FFFFFF00"/>
        </patternFill>
      </fill>
      <alignment vertical="center" wrapText="1" readingOrder="0"/>
      <border outline="0">
        <top style="thin">
          <color indexed="64"/>
        </top>
      </border>
    </dxf>
  </rfmt>
  <rfmt sheetId="26" sqref="G47" start="0" length="0">
    <dxf>
      <alignment vertical="center" wrapText="1" readingOrder="0"/>
    </dxf>
  </rfmt>
  <rfmt sheetId="26" sqref="A48" start="0" length="0">
    <dxf>
      <font>
        <b/>
        <sz val="11"/>
        <color theme="1"/>
        <name val="Arial Narrow"/>
        <scheme val="none"/>
      </font>
      <fill>
        <patternFill patternType="solid">
          <bgColor theme="0"/>
        </patternFill>
      </fill>
      <alignment vertical="center" readingOrder="0"/>
    </dxf>
  </rfmt>
  <rfmt sheetId="26" sqref="B48" start="0" length="0">
    <dxf>
      <font>
        <sz val="11"/>
        <color theme="1"/>
        <name val="Arial Narrow"/>
        <scheme val="none"/>
      </font>
      <fill>
        <patternFill patternType="solid">
          <bgColor theme="0"/>
        </patternFill>
      </fill>
      <alignment vertical="center" readingOrder="0"/>
    </dxf>
  </rfmt>
  <rfmt sheetId="26" sqref="C48" start="0" length="0">
    <dxf>
      <font>
        <sz val="11"/>
        <color theme="1"/>
        <name val="Arial Narrow"/>
        <scheme val="none"/>
      </font>
      <fill>
        <patternFill patternType="solid">
          <bgColor theme="0"/>
        </patternFill>
      </fill>
      <alignment vertical="center" readingOrder="0"/>
    </dxf>
  </rfmt>
  <rfmt sheetId="26" sqref="D48" start="0" length="0">
    <dxf>
      <alignment vertical="center" wrapText="1" readingOrder="0"/>
    </dxf>
  </rfmt>
  <rfmt sheetId="26" sqref="E48" start="0" length="0">
    <dxf>
      <alignment vertical="center" wrapText="1" readingOrder="0"/>
    </dxf>
  </rfmt>
  <rfmt sheetId="26" sqref="F48" start="0" length="0">
    <dxf>
      <alignment vertical="center" wrapText="1" readingOrder="0"/>
    </dxf>
  </rfmt>
  <rfmt sheetId="26" sqref="G48" start="0" length="0">
    <dxf>
      <font>
        <sz val="11"/>
        <color theme="1"/>
        <name val="Arial Narrow"/>
        <scheme val="none"/>
      </font>
      <fill>
        <patternFill patternType="solid">
          <bgColor theme="0"/>
        </patternFill>
      </fill>
      <alignment vertical="center" readingOrder="0"/>
    </dxf>
  </rfmt>
  <rcc rId="7418" sId="26" odxf="1" dxf="1">
    <nc r="A1" t="inlineStr">
      <is>
        <t>ООО "ЦЕНТР-ТИМ"   Платонов Иван 89536104242  centrtim57@mail.ru  28/03/19</t>
      </is>
    </nc>
    <odxf>
      <font>
        <b val="0"/>
        <sz val="11"/>
        <color theme="1"/>
        <name val="Calibri"/>
        <scheme val="minor"/>
      </font>
      <fill>
        <patternFill patternType="none">
          <bgColor indexed="65"/>
        </patternFill>
      </fill>
    </odxf>
    <ndxf>
      <font>
        <b/>
        <sz val="16"/>
        <color theme="1"/>
        <name val="Calibri"/>
        <scheme val="minor"/>
      </font>
      <fill>
        <patternFill patternType="solid">
          <bgColor rgb="FF00B0F0"/>
        </patternFill>
      </fill>
    </ndxf>
  </rcc>
  <rfmt sheetId="26" sqref="B1" start="0" length="0">
    <dxf>
      <font>
        <b/>
        <sz val="16"/>
        <color theme="1"/>
        <name val="Calibri"/>
        <scheme val="minor"/>
      </font>
      <fill>
        <patternFill patternType="solid">
          <bgColor rgb="FF00B0F0"/>
        </patternFill>
      </fill>
    </dxf>
  </rfmt>
  <rfmt sheetId="26" sqref="C1" start="0" length="0">
    <dxf>
      <font>
        <b/>
        <sz val="16"/>
        <color theme="1"/>
        <name val="Calibri"/>
        <scheme val="minor"/>
      </font>
      <fill>
        <patternFill patternType="solid">
          <bgColor rgb="FF00B0F0"/>
        </patternFill>
      </fill>
    </dxf>
  </rfmt>
  <rfmt sheetId="26" sqref="D1" start="0" length="0">
    <dxf>
      <font>
        <b/>
        <sz val="16"/>
        <color theme="1"/>
        <name val="Calibri"/>
        <scheme val="minor"/>
      </font>
      <fill>
        <patternFill patternType="solid">
          <bgColor rgb="FF00B0F0"/>
        </patternFill>
      </fill>
    </dxf>
  </rfmt>
  <rfmt sheetId="26" sqref="E1" start="0" length="0">
    <dxf>
      <fill>
        <patternFill patternType="solid">
          <bgColor rgb="FF00B0F0"/>
        </patternFill>
      </fill>
      <alignment vertical="top" wrapText="1" readingOrder="0"/>
    </dxf>
  </rfmt>
  <rfmt sheetId="26" sqref="F1" start="0" length="0">
    <dxf>
      <fill>
        <patternFill patternType="solid">
          <bgColor rgb="FF00B0F0"/>
        </patternFill>
      </fill>
    </dxf>
  </rfmt>
  <rrc rId="7419" sId="26" ref="A2:XFD2" action="deleteRow">
    <rfmt sheetId="26" xfDxf="1" sqref="A2:XFD2" start="0" length="0"/>
  </rrc>
  <rfmt sheetId="26" sqref="A1:F1">
    <dxf>
      <alignment vertical="center" readingOrder="0"/>
    </dxf>
  </rfmt>
  <rrc rId="7420" sId="24" ref="A1:XFD1" action="deleteRow">
    <rfmt sheetId="24" xfDxf="1" sqref="A1:XFD1" start="0" length="0"/>
    <rfmt sheetId="24" sqref="A1" start="0" length="0">
      <dxf>
        <alignment vertical="top" wrapText="1" readingOrder="0"/>
      </dxf>
    </rfmt>
    <rfmt sheetId="24" sqref="B1" start="0" length="0">
      <dxf>
        <alignment vertical="top" wrapText="1" readingOrder="0"/>
      </dxf>
    </rfmt>
    <rfmt sheetId="24" sqref="C1" start="0" length="0">
      <dxf>
        <alignment vertical="top" wrapText="1" readingOrder="0"/>
      </dxf>
    </rfmt>
    <rfmt sheetId="24" sqref="D1" start="0" length="0">
      <dxf>
        <alignment vertical="top" wrapText="1" readingOrder="0"/>
      </dxf>
    </rfmt>
    <rfmt sheetId="24" sqref="E1" start="0" length="0">
      <dxf>
        <alignment vertical="top" wrapText="1" readingOrder="0"/>
      </dxf>
    </rfmt>
  </rrc>
  <rfmt sheetId="24" sqref="A1:F1" start="0" length="2147483647">
    <dxf>
      <font>
        <sz val="14"/>
      </font>
    </dxf>
  </rfmt>
  <rfmt sheetId="24" sqref="F1">
    <dxf>
      <fill>
        <patternFill>
          <bgColor theme="0"/>
        </patternFill>
      </fill>
    </dxf>
  </rfmt>
  <rfmt sheetId="24" sqref="A1:E1">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21.xml><?xml version="1.0" encoding="utf-8"?>
<revisions xmlns="http://schemas.openxmlformats.org/spreadsheetml/2006/main" xmlns:r="http://schemas.openxmlformats.org/officeDocument/2006/relationships">
  <rfmt sheetId="24" sqref="D8:E8">
    <dxf>
      <alignment vertical="center" readingOrder="0"/>
    </dxf>
  </rfmt>
  <rfmt sheetId="24" sqref="D10:E10">
    <dxf>
      <alignment vertical="center" readingOrder="0"/>
    </dxf>
  </rfmt>
  <rfmt sheetId="24" sqref="D24:E25">
    <dxf>
      <alignment vertical="center" readingOrder="0"/>
    </dxf>
  </rfmt>
  <rfmt sheetId="24" sqref="D47:E47">
    <dxf>
      <alignment vertical="center" readingOrder="0"/>
    </dxf>
  </rfmt>
  <rfmt sheetId="24" sqref="D52:E53">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1.xml><?xml version="1.0" encoding="utf-8"?>
<revisions xmlns="http://schemas.openxmlformats.org/spreadsheetml/2006/main" xmlns:r="http://schemas.openxmlformats.org/officeDocument/2006/relationships">
  <rcc rId="10303" sId="17">
    <oc r="A1" t="inlineStr">
      <is>
        <t>ООО "ЦЕНТР-ТИМ"   Платонов Иван 89536104242  centrtim57@mail.ru  21/01/19</t>
      </is>
    </oc>
    <nc r="A1"/>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evisions>
</file>

<file path=xl/revisions/revisionLog1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evisions>
</file>

<file path=xl/revisions/revisionLog112.xml><?xml version="1.0" encoding="utf-8"?>
<revisions xmlns="http://schemas.openxmlformats.org/spreadsheetml/2006/main" xmlns:r="http://schemas.openxmlformats.org/officeDocument/2006/relationships">
  <ris rId="10888" sheetId="38" name="[ПРАЙС ЦЕНТР-ТИМ 2019 обновленный.xlsx]Сайдинг LUX (Вудслайт) " sheetPosition="37"/>
  <rcc rId="10889" sId="38" odxf="1" dxf="1">
    <nc r="A4" t="inlineStr">
      <is>
        <t xml:space="preserve">Сайдинг DÖCKE LUX.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8" sqref="B4" start="0" length="0">
    <dxf>
      <font>
        <b/>
        <sz val="11"/>
        <color theme="1"/>
        <name val="Arial Narrow"/>
        <scheme val="none"/>
      </font>
      <fill>
        <patternFill patternType="solid">
          <bgColor theme="0"/>
        </patternFill>
      </fill>
      <alignment vertical="center" readingOrder="0"/>
    </dxf>
  </rfmt>
  <rfmt sheetId="38" sqref="C4" start="0" length="0">
    <dxf>
      <font>
        <sz val="11"/>
        <color auto="1"/>
        <name val="Arial Narrow"/>
        <scheme val="none"/>
      </font>
      <fill>
        <patternFill patternType="solid">
          <bgColor theme="0"/>
        </patternFill>
      </fill>
      <alignment vertical="center" readingOrder="0"/>
    </dxf>
  </rfmt>
  <rfmt sheetId="38" sqref="D4" start="0" length="0">
    <dxf>
      <font>
        <b/>
        <sz val="11"/>
        <color auto="1"/>
        <name val="Arial Narrow"/>
        <scheme val="none"/>
      </font>
      <fill>
        <patternFill patternType="solid">
          <bgColor theme="0"/>
        </patternFill>
      </fill>
      <alignment horizontal="right" vertical="center" readingOrder="0"/>
    </dxf>
  </rfmt>
  <rfmt sheetId="38" sqref="E4" start="0" length="0">
    <dxf>
      <font>
        <b/>
        <sz val="11"/>
        <color auto="1"/>
        <name val="Arial Narrow"/>
        <scheme val="none"/>
      </font>
      <fill>
        <patternFill patternType="solid">
          <bgColor theme="0"/>
        </patternFill>
      </fill>
      <alignment horizontal="right" vertical="center" readingOrder="0"/>
    </dxf>
  </rfmt>
  <rfmt sheetId="38" sqref="F4" start="0" length="0">
    <dxf>
      <font>
        <b/>
        <sz val="11"/>
        <color auto="1"/>
        <name val="Arial Narrow"/>
        <scheme val="none"/>
      </font>
      <fill>
        <patternFill patternType="solid">
          <bgColor theme="0"/>
        </patternFill>
      </fill>
      <alignment horizontal="right" vertical="center" readingOrder="0"/>
    </dxf>
  </rfmt>
  <rfmt sheetId="38" sqref="G4" start="0" length="0">
    <dxf>
      <font>
        <b/>
        <sz val="16"/>
        <color auto="1"/>
        <name val="Arial Narrow"/>
        <scheme val="none"/>
      </font>
      <fill>
        <patternFill patternType="solid">
          <bgColor theme="0"/>
        </patternFill>
      </fill>
      <alignment vertical="center" readingOrder="0"/>
    </dxf>
  </rfmt>
  <rfmt sheetId="38" sqref="A5" start="0" length="0">
    <dxf>
      <font>
        <sz val="11"/>
        <color theme="1"/>
        <name val="Arial Narrow"/>
        <scheme val="none"/>
      </font>
      <fill>
        <patternFill patternType="solid">
          <bgColor theme="0"/>
        </patternFill>
      </fill>
      <alignment vertical="center" readingOrder="0"/>
    </dxf>
  </rfmt>
  <rfmt sheetId="38" sqref="B5" start="0" length="0">
    <dxf>
      <font>
        <sz val="11"/>
        <color theme="1"/>
        <name val="Arial Narrow"/>
        <scheme val="none"/>
      </font>
      <fill>
        <patternFill patternType="solid">
          <bgColor theme="0"/>
        </patternFill>
      </fill>
      <alignment vertical="center" readingOrder="0"/>
    </dxf>
  </rfmt>
  <rfmt sheetId="38" sqref="C5" start="0" length="0">
    <dxf>
      <font>
        <sz val="11"/>
        <color auto="1"/>
        <name val="Arial Narrow"/>
        <scheme val="none"/>
      </font>
      <fill>
        <patternFill patternType="solid">
          <bgColor theme="0"/>
        </patternFill>
      </fill>
      <alignment vertical="center" readingOrder="0"/>
    </dxf>
  </rfmt>
  <rfmt sheetId="38" sqref="D5" start="0" length="0">
    <dxf>
      <font>
        <sz val="11"/>
        <color auto="1"/>
        <name val="Arial Narrow"/>
        <scheme val="none"/>
      </font>
      <fill>
        <patternFill patternType="solid">
          <bgColor theme="0"/>
        </patternFill>
      </fill>
      <alignment vertical="center" readingOrder="0"/>
    </dxf>
  </rfmt>
  <rfmt sheetId="38" sqref="E5" start="0" length="0">
    <dxf>
      <font>
        <sz val="11"/>
        <color auto="1"/>
        <name val="Arial Narrow"/>
        <scheme val="none"/>
      </font>
      <fill>
        <patternFill patternType="solid">
          <bgColor theme="0"/>
        </patternFill>
      </fill>
      <alignment vertical="center" readingOrder="0"/>
    </dxf>
  </rfmt>
  <rfmt sheetId="38" sqref="F5" start="0" length="0">
    <dxf>
      <font>
        <sz val="11"/>
        <color auto="1"/>
        <name val="Arial Narrow"/>
        <scheme val="none"/>
      </font>
      <fill>
        <patternFill patternType="solid">
          <bgColor theme="0"/>
        </patternFill>
      </fill>
      <alignment vertical="center" readingOrder="0"/>
    </dxf>
  </rfmt>
  <rfmt sheetId="38" sqref="G5" start="0" length="0">
    <dxf>
      <font>
        <sz val="11"/>
        <color theme="1"/>
        <name val="Arial Narrow"/>
        <scheme val="none"/>
      </font>
      <fill>
        <patternFill patternType="solid">
          <bgColor theme="0"/>
        </patternFill>
      </fill>
      <alignment vertical="center" readingOrder="0"/>
    </dxf>
  </rfmt>
  <rfmt sheetId="38" sqref="A6" start="0" length="0">
    <dxf>
      <font>
        <sz val="11"/>
        <color theme="1"/>
        <name val="Arial Narrow"/>
        <scheme val="none"/>
      </font>
      <fill>
        <patternFill patternType="solid">
          <bgColor rgb="FF92D050"/>
        </patternFill>
      </fill>
      <alignment vertical="center" readingOrder="0"/>
    </dxf>
  </rfmt>
  <rfmt sheetId="38" sqref="B6" start="0" length="0">
    <dxf>
      <font>
        <sz val="11"/>
        <color theme="1"/>
        <name val="Arial Narrow"/>
        <scheme val="none"/>
      </font>
      <fill>
        <patternFill patternType="solid">
          <bgColor rgb="FF92D050"/>
        </patternFill>
      </fill>
      <alignment vertical="center" readingOrder="0"/>
    </dxf>
  </rfmt>
  <rfmt sheetId="38" sqref="C6" start="0" length="0">
    <dxf>
      <font>
        <sz val="11"/>
        <color auto="1"/>
        <name val="Arial Narrow"/>
        <scheme val="none"/>
      </font>
      <fill>
        <patternFill patternType="solid">
          <bgColor theme="0"/>
        </patternFill>
      </fill>
      <alignment vertical="center" readingOrder="0"/>
    </dxf>
  </rfmt>
  <rfmt sheetId="38" sqref="D6" start="0" length="0">
    <dxf>
      <font>
        <b/>
        <sz val="11"/>
        <color auto="1"/>
        <name val="Arial Narrow"/>
        <scheme val="none"/>
      </font>
      <fill>
        <patternFill patternType="solid">
          <bgColor theme="5" tint="0.39997558519241921"/>
        </patternFill>
      </fill>
      <alignment horizontal="center" vertical="center" readingOrder="0"/>
    </dxf>
  </rfmt>
  <rfmt sheetId="38" sqref="E6" start="0" length="0">
    <dxf>
      <font>
        <b/>
        <sz val="11"/>
        <color auto="1"/>
        <name val="Arial Narrow"/>
        <scheme val="none"/>
      </font>
      <fill>
        <patternFill patternType="solid">
          <bgColor rgb="FFFFFF00"/>
        </patternFill>
      </fill>
      <alignment horizontal="center" vertical="center" readingOrder="0"/>
    </dxf>
  </rfmt>
  <rfmt sheetId="38" sqref="F6" start="0" length="0">
    <dxf>
      <font>
        <b/>
        <sz val="11"/>
        <color auto="1"/>
        <name val="Arial Narrow"/>
        <scheme val="none"/>
      </font>
      <fill>
        <patternFill patternType="solid">
          <bgColor rgb="FFCCFFCC"/>
        </patternFill>
      </fill>
      <alignment horizontal="center" vertical="center" readingOrder="0"/>
    </dxf>
  </rfmt>
  <rfmt sheetId="38" sqref="G6" start="0" length="0">
    <dxf>
      <font>
        <sz val="11"/>
        <color theme="1"/>
        <name val="Arial Narrow"/>
        <scheme val="none"/>
      </font>
      <fill>
        <patternFill patternType="solid">
          <bgColor theme="0"/>
        </patternFill>
      </fill>
      <alignment vertical="center" readingOrder="0"/>
    </dxf>
  </rfmt>
  <rcc rId="10890" sId="38"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891" sId="38"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8" sqref="C7" start="0" length="0">
    <dxf>
      <font>
        <b/>
        <u/>
        <sz val="12"/>
        <color auto="1"/>
        <name val="Arial Narrow"/>
        <scheme val="none"/>
      </font>
      <fill>
        <patternFill patternType="solid">
          <bgColor theme="0"/>
        </patternFill>
      </fill>
      <alignment horizontal="center" vertical="center" wrapText="1" readingOrder="0"/>
    </dxf>
  </rfmt>
  <rcc rId="10892" sId="38"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893" sId="38"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894" sId="38"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8" sqref="G7" start="0" length="0">
    <dxf>
      <font>
        <sz val="9"/>
        <color theme="1"/>
        <name val="Arial Narrow"/>
        <scheme val="none"/>
      </font>
      <fill>
        <patternFill patternType="solid">
          <bgColor theme="0"/>
        </patternFill>
      </fill>
      <alignment horizontal="center" vertical="center" readingOrder="0"/>
    </dxf>
  </rfmt>
  <rfmt sheetId="38" sqref="A8" start="0" length="0">
    <dxf>
      <font>
        <sz val="11"/>
        <color auto="1"/>
        <name val="Arial Narrow"/>
        <scheme val="none"/>
      </font>
      <alignment vertical="center" readingOrder="0"/>
    </dxf>
  </rfmt>
  <rfmt sheetId="38" sqref="B8" start="0" length="0">
    <dxf>
      <font>
        <sz val="11"/>
        <color auto="1"/>
        <name val="Arial Narrow"/>
        <scheme val="none"/>
      </font>
      <alignment vertical="center" readingOrder="0"/>
    </dxf>
  </rfmt>
  <rfmt sheetId="38" sqref="C8" start="0" length="0">
    <dxf>
      <font>
        <sz val="11"/>
        <color auto="1"/>
        <name val="Arial Narrow"/>
        <scheme val="none"/>
      </font>
      <numFmt numFmtId="167" formatCode="#,##0.00&quot;р.&quot;"/>
      <fill>
        <patternFill patternType="solid">
          <bgColor theme="0"/>
        </patternFill>
      </fill>
      <alignment vertical="center" readingOrder="0"/>
    </dxf>
  </rfmt>
  <rfmt sheetId="38" sqref="D8" start="0" length="0">
    <dxf>
      <font>
        <sz val="11"/>
        <color auto="1"/>
        <name val="Arial Narrow"/>
        <scheme val="none"/>
      </font>
      <numFmt numFmtId="167" formatCode="#,##0.00&quot;р.&quot;"/>
      <fill>
        <patternFill patternType="solid">
          <bgColor theme="0"/>
        </patternFill>
      </fill>
      <alignment vertical="center" readingOrder="0"/>
    </dxf>
  </rfmt>
  <rfmt sheetId="38" sqref="E8" start="0" length="0">
    <dxf>
      <font>
        <sz val="11"/>
        <color auto="1"/>
        <name val="Arial Narrow"/>
        <scheme val="none"/>
      </font>
      <numFmt numFmtId="167" formatCode="#,##0.00&quot;р.&quot;"/>
      <fill>
        <patternFill patternType="solid">
          <bgColor theme="0"/>
        </patternFill>
      </fill>
      <alignment vertical="center" readingOrder="0"/>
    </dxf>
  </rfmt>
  <rfmt sheetId="38" sqref="F8" start="0" length="0">
    <dxf>
      <font>
        <sz val="11"/>
        <color auto="1"/>
        <name val="Arial Narrow"/>
        <scheme val="none"/>
      </font>
      <numFmt numFmtId="167" formatCode="#,##0.00&quot;р.&quot;"/>
      <fill>
        <patternFill patternType="solid">
          <bgColor theme="0"/>
        </patternFill>
      </fill>
      <alignment vertical="center" readingOrder="0"/>
    </dxf>
  </rfmt>
  <rfmt sheetId="38" sqref="G8" start="0" length="0">
    <dxf>
      <font>
        <sz val="11"/>
        <color theme="1"/>
        <name val="Arial Narrow"/>
        <scheme val="none"/>
      </font>
      <fill>
        <patternFill patternType="solid">
          <bgColor theme="0"/>
        </patternFill>
      </fill>
      <alignment vertical="center" readingOrder="0"/>
    </dxf>
  </rfmt>
  <rcc rId="10895" sId="38" odxf="1" dxf="1">
    <nc r="A9" t="inlineStr">
      <is>
        <t xml:space="preserve">Döcke LUX Сайдинг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896" sId="38"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8" sqref="C9" start="0" length="0">
    <dxf>
      <font>
        <b/>
        <sz val="11"/>
        <color auto="1"/>
        <name val="Arial Narrow"/>
        <scheme val="none"/>
      </font>
      <numFmt numFmtId="2" formatCode="0.00"/>
      <fill>
        <patternFill patternType="solid">
          <bgColor theme="0"/>
        </patternFill>
      </fill>
      <alignment horizontal="center" vertical="center" readingOrder="0"/>
    </dxf>
  </rfmt>
  <rfmt sheetId="38"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38" sqref="G9" start="0" length="0">
    <dxf>
      <font>
        <b/>
        <sz val="11"/>
        <color theme="1"/>
        <name val="Arial Narrow"/>
        <scheme val="none"/>
      </font>
      <fill>
        <patternFill patternType="solid">
          <bgColor theme="0"/>
        </patternFill>
      </fill>
      <alignment vertical="center" readingOrder="0"/>
    </dxf>
  </rfmt>
  <rcc rId="10897" sId="38" odxf="1" dxf="1">
    <nc r="A10" t="inlineStr">
      <is>
        <t>Сайдинг D4,5D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898" sId="38" odxf="1" dxf="1">
    <nc r="B10">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0" start="0" length="0">
    <dxf>
      <font>
        <sz val="6"/>
        <color rgb="FFFF0000"/>
        <name val="Arial Narrow"/>
        <scheme val="none"/>
      </font>
      <numFmt numFmtId="2" formatCode="0.00"/>
      <fill>
        <patternFill patternType="solid">
          <bgColor theme="0"/>
        </patternFill>
      </fill>
      <alignment horizontal="center" vertical="center" readingOrder="0"/>
    </dxf>
  </rfmt>
  <rcc rId="10899" sId="38" odxf="1" dxf="1">
    <nc r="D10" t="inlineStr">
      <is>
        <t>296,82р.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0" sId="38" odxf="1" dxf="1">
    <nc r="E10" t="inlineStr">
      <is>
        <t>319,37р.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1" sId="38" odxf="1" dxf="1">
    <nc r="F10" t="inlineStr">
      <is>
        <t>375,72р.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0" start="0" length="0">
    <dxf>
      <font>
        <b/>
        <sz val="11"/>
        <color theme="1"/>
        <name val="Arial Narrow"/>
        <scheme val="none"/>
      </font>
      <fill>
        <patternFill patternType="solid">
          <bgColor theme="0"/>
        </patternFill>
      </fill>
      <alignment vertical="center" readingOrder="0"/>
    </dxf>
  </rfmt>
  <rcc rId="10902" sId="38" odxf="1" dxf="1">
    <nc r="A11" t="inlineStr">
      <is>
        <t>БлокХаус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03" sId="38" odxf="1" dxf="1">
    <nc r="B11">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1" start="0" length="0">
    <dxf>
      <font>
        <sz val="6"/>
        <color rgb="FFFF0000"/>
        <name val="Arial Narrow"/>
        <scheme val="none"/>
      </font>
      <numFmt numFmtId="2" formatCode="0.00"/>
      <fill>
        <patternFill patternType="solid">
          <bgColor theme="0"/>
        </patternFill>
      </fill>
      <alignment horizontal="center" vertical="center" readingOrder="0"/>
    </dxf>
  </rfmt>
  <rcc rId="10904" sId="38" odxf="1" dxf="1">
    <nc r="D11" t="inlineStr">
      <is>
        <t>307,30р.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5" sId="38" odxf="1" dxf="1">
    <nc r="E11" t="inlineStr">
      <is>
        <t>330,64р.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6" sId="38" odxf="1" dxf="1">
    <nc r="F11" t="inlineStr">
      <is>
        <t>388,99р.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1" start="0" length="0">
    <dxf>
      <font>
        <sz val="11"/>
        <color rgb="FF0000FF"/>
        <name val="Arial Narrow"/>
        <scheme val="none"/>
      </font>
      <fill>
        <patternFill patternType="solid">
          <bgColor theme="0"/>
        </patternFill>
      </fill>
      <alignment vertical="center" readingOrder="0"/>
    </dxf>
  </rfmt>
  <rcc rId="10907" sId="38" odxf="1" dxf="1">
    <nc r="A12" t="inlineStr">
      <is>
        <t>Брус D6S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08" sId="38" odxf="1" dxf="1">
    <nc r="B12">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2" start="0" length="0">
    <dxf>
      <font>
        <sz val="6"/>
        <color rgb="FFFF0000"/>
        <name val="Arial Narrow"/>
        <scheme val="none"/>
      </font>
      <numFmt numFmtId="2" formatCode="0.00"/>
      <fill>
        <patternFill patternType="solid">
          <bgColor theme="0"/>
        </patternFill>
      </fill>
      <alignment horizontal="center" vertical="center" readingOrder="0"/>
    </dxf>
  </rfmt>
  <rcc rId="10909" sId="38" odxf="1" dxf="1">
    <nc r="D12" t="inlineStr">
      <is>
        <t>384,12р.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0" sId="38" odxf="1" dxf="1">
    <nc r="E12" t="inlineStr">
      <is>
        <t>413,30р.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1" sId="38" odxf="1" dxf="1">
    <nc r="F12" t="inlineStr">
      <is>
        <t>486,23р.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2" start="0" length="0">
    <dxf>
      <font>
        <sz val="11"/>
        <color theme="1"/>
        <name val="Arial Narrow"/>
        <scheme val="none"/>
      </font>
      <fill>
        <patternFill patternType="solid">
          <bgColor theme="0"/>
        </patternFill>
      </fill>
      <alignment vertical="center" readingOrder="0"/>
    </dxf>
  </rfmt>
  <rfmt sheetId="38" sqref="A13" start="0" length="0">
    <dxf>
      <font>
        <sz val="11"/>
        <color auto="1"/>
        <name val="Arial Narrow"/>
        <scheme val="none"/>
      </font>
      <alignment vertical="center" readingOrder="0"/>
    </dxf>
  </rfmt>
  <rfmt sheetId="38" sqref="B13" start="0" length="0">
    <dxf>
      <font>
        <sz val="11"/>
        <color auto="1"/>
        <name val="Arial Narrow"/>
        <scheme val="none"/>
      </font>
      <alignment vertical="center" readingOrder="0"/>
    </dxf>
  </rfmt>
  <rfmt sheetId="38" sqref="C13" start="0" length="0">
    <dxf>
      <font>
        <sz val="11"/>
        <color auto="1"/>
        <name val="Arial Narrow"/>
        <scheme val="none"/>
      </font>
      <numFmt numFmtId="2" formatCode="0.00"/>
      <fill>
        <patternFill patternType="solid">
          <bgColor theme="0"/>
        </patternFill>
      </fill>
      <alignment horizontal="center" vertical="center" readingOrder="0"/>
    </dxf>
  </rfmt>
  <rfmt sheetId="38" sqref="D13" start="0" length="0">
    <dxf>
      <font>
        <sz val="11"/>
        <color auto="1"/>
        <name val="Arial Narrow"/>
        <scheme val="none"/>
      </font>
      <numFmt numFmtId="13" formatCode="0%"/>
      <fill>
        <patternFill patternType="solid">
          <bgColor theme="9" tint="0.79998168889431442"/>
        </patternFill>
      </fill>
      <alignment vertical="center" readingOrder="0"/>
    </dxf>
  </rfmt>
  <rfmt sheetId="38" sqref="E13" start="0" length="0">
    <dxf>
      <font>
        <sz val="11"/>
        <color auto="1"/>
        <name val="Arial Narrow"/>
        <scheme val="none"/>
      </font>
      <numFmt numFmtId="13" formatCode="0%"/>
      <fill>
        <patternFill patternType="solid">
          <bgColor theme="9" tint="0.79998168889431442"/>
        </patternFill>
      </fill>
      <alignment vertical="center" readingOrder="0"/>
    </dxf>
  </rfmt>
  <rfmt sheetId="38" sqref="F13" start="0" length="0">
    <dxf>
      <font>
        <sz val="11"/>
        <color auto="1"/>
        <name val="Arial Narrow"/>
        <scheme val="none"/>
      </font>
      <numFmt numFmtId="13" formatCode="0%"/>
      <fill>
        <patternFill patternType="solid">
          <bgColor theme="9" tint="0.79998168889431442"/>
        </patternFill>
      </fill>
      <alignment vertical="center" readingOrder="0"/>
    </dxf>
  </rfmt>
  <rfmt sheetId="38" sqref="G13" start="0" length="0">
    <dxf>
      <font>
        <sz val="11"/>
        <color theme="1"/>
        <name val="Arial Narrow"/>
        <scheme val="none"/>
      </font>
      <fill>
        <patternFill patternType="solid">
          <bgColor theme="0"/>
        </patternFill>
      </fill>
      <alignment vertical="center" readingOrder="0"/>
    </dxf>
  </rfmt>
  <rfmt sheetId="38" sqref="A14" start="0" length="0">
    <dxf>
      <font>
        <sz val="11"/>
        <color auto="1"/>
        <name val="Arial Narrow"/>
        <scheme val="none"/>
      </font>
      <fill>
        <patternFill patternType="solid">
          <bgColor theme="0"/>
        </patternFill>
      </fill>
      <alignment vertical="center" readingOrder="0"/>
    </dxf>
  </rfmt>
  <rfmt sheetId="38" sqref="B14" start="0" length="0">
    <dxf>
      <font>
        <sz val="11"/>
        <color auto="1"/>
        <name val="Arial Narrow"/>
        <scheme val="none"/>
      </font>
      <fill>
        <patternFill patternType="solid">
          <bgColor theme="0"/>
        </patternFill>
      </fill>
      <alignment vertical="center" readingOrder="0"/>
    </dxf>
  </rfmt>
  <rfmt sheetId="38" sqref="C14" start="0" length="0">
    <dxf>
      <font>
        <sz val="11"/>
        <color auto="1"/>
        <name val="Arial Narrow"/>
        <scheme val="none"/>
      </font>
      <numFmt numFmtId="2" formatCode="0.00"/>
      <fill>
        <patternFill patternType="solid">
          <bgColor theme="0"/>
        </patternFill>
      </fill>
      <alignment horizontal="center" vertical="center" readingOrder="0"/>
    </dxf>
  </rfmt>
  <rfmt sheetId="38" sqref="D14" start="0" length="0">
    <dxf>
      <font>
        <sz val="11"/>
        <color auto="1"/>
        <name val="Arial Narrow"/>
        <scheme val="none"/>
      </font>
      <numFmt numFmtId="13" formatCode="0%"/>
      <fill>
        <patternFill patternType="solid">
          <bgColor theme="0"/>
        </patternFill>
      </fill>
      <alignment vertical="center" readingOrder="0"/>
    </dxf>
  </rfmt>
  <rfmt sheetId="38" sqref="E14" start="0" length="0">
    <dxf>
      <font>
        <sz val="11"/>
        <color auto="1"/>
        <name val="Arial Narrow"/>
        <scheme val="none"/>
      </font>
      <numFmt numFmtId="13" formatCode="0%"/>
      <fill>
        <patternFill patternType="solid">
          <bgColor theme="0"/>
        </patternFill>
      </fill>
      <alignment vertical="center" readingOrder="0"/>
    </dxf>
  </rfmt>
  <rfmt sheetId="38" sqref="F14" start="0" length="0">
    <dxf>
      <font>
        <sz val="11"/>
        <color auto="1"/>
        <name val="Arial Narrow"/>
        <scheme val="none"/>
      </font>
      <numFmt numFmtId="13" formatCode="0%"/>
      <fill>
        <patternFill patternType="solid">
          <bgColor theme="0"/>
        </patternFill>
      </fill>
      <alignment vertical="center" readingOrder="0"/>
    </dxf>
  </rfmt>
  <rfmt sheetId="38" sqref="G14" start="0" length="0">
    <dxf>
      <font>
        <sz val="11"/>
        <color theme="1"/>
        <name val="Arial Narrow"/>
        <scheme val="none"/>
      </font>
      <fill>
        <patternFill patternType="solid">
          <bgColor theme="0"/>
        </patternFill>
      </fill>
      <alignment vertical="center" readingOrder="0"/>
    </dxf>
  </rfmt>
  <rcc rId="10912" sId="38" odxf="1" dxf="1">
    <nc r="A15" t="inlineStr">
      <is>
        <t>Döcke LUX Софиты</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913" sId="38" odxf="1" dxf="1">
    <nc r="B15"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8" sqref="C15" start="0" length="0">
    <dxf>
      <font>
        <sz val="11"/>
        <color auto="1"/>
        <name val="Arial Narrow"/>
        <scheme val="none"/>
      </font>
      <numFmt numFmtId="2" formatCode="0.00"/>
      <fill>
        <patternFill patternType="solid">
          <bgColor theme="0"/>
        </patternFill>
      </fill>
      <alignment horizontal="center" vertical="center" readingOrder="0"/>
    </dxf>
  </rfmt>
  <rfmt sheetId="38" sqref="D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E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F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G15" start="0" length="0">
    <dxf>
      <font>
        <sz val="11"/>
        <color theme="1"/>
        <name val="Arial Narrow"/>
        <scheme val="none"/>
      </font>
      <fill>
        <patternFill patternType="solid">
          <bgColor theme="0"/>
        </patternFill>
      </fill>
      <alignment vertical="center" readingOrder="0"/>
    </dxf>
  </rfmt>
  <rcc rId="10914" sId="38" odxf="1" dxf="1">
    <nc r="A16" t="inlineStr">
      <is>
        <t>Софит с центральной перфорацией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15" sId="38" odxf="1" dxf="1">
    <nc r="B16">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6" start="0" length="0">
    <dxf>
      <font>
        <sz val="6"/>
        <color rgb="FFFF0000"/>
        <name val="Arial Narrow"/>
        <scheme val="none"/>
      </font>
      <numFmt numFmtId="2" formatCode="0.00"/>
      <fill>
        <patternFill patternType="solid">
          <bgColor theme="0"/>
        </patternFill>
      </fill>
      <alignment horizontal="center" vertical="center" readingOrder="0"/>
    </dxf>
  </rfmt>
  <rcc rId="10916" sId="38" odxf="1" dxf="1">
    <nc r="D16" t="inlineStr">
      <is>
        <t>501,64р.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7" sId="38" odxf="1" dxf="1">
    <nc r="E16" t="inlineStr">
      <is>
        <t>551,80р.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8" sId="38" odxf="1" dxf="1">
    <nc r="F16" t="inlineStr">
      <is>
        <t>627,05р.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6" start="0" length="0">
    <dxf>
      <font>
        <sz val="11"/>
        <color theme="1"/>
        <name val="Arial Narrow"/>
        <scheme val="none"/>
      </font>
      <fill>
        <patternFill patternType="solid">
          <bgColor theme="0"/>
        </patternFill>
      </fill>
      <alignment vertical="center" readingOrder="0"/>
    </dxf>
  </rfmt>
  <rfmt sheetId="38" sqref="A17" start="0" length="0">
    <dxf>
      <font>
        <sz val="11"/>
        <color auto="1"/>
        <name val="Arial Narrow"/>
        <scheme val="none"/>
      </font>
      <alignment vertical="center" readingOrder="0"/>
    </dxf>
  </rfmt>
  <rfmt sheetId="38" sqref="B17" start="0" length="0">
    <dxf>
      <font>
        <sz val="11"/>
        <color auto="1"/>
        <name val="Arial Narrow"/>
        <scheme val="none"/>
      </font>
      <alignment vertical="center" readingOrder="0"/>
    </dxf>
  </rfmt>
  <rfmt sheetId="38" sqref="C17" start="0" length="0">
    <dxf>
      <font>
        <sz val="11"/>
        <color auto="1"/>
        <name val="Arial Narrow"/>
        <scheme val="none"/>
      </font>
      <numFmt numFmtId="2" formatCode="0.00"/>
      <fill>
        <patternFill patternType="solid">
          <bgColor theme="0"/>
        </patternFill>
      </fill>
      <alignment horizontal="center" vertical="center" readingOrder="0"/>
    </dxf>
  </rfmt>
  <rfmt sheetId="38" sqref="D17" start="0" length="0">
    <dxf>
      <font>
        <sz val="11"/>
        <color auto="1"/>
        <name val="Arial Narrow"/>
        <scheme val="none"/>
      </font>
      <numFmt numFmtId="13" formatCode="0%"/>
      <fill>
        <patternFill patternType="solid">
          <bgColor theme="9" tint="0.79998168889431442"/>
        </patternFill>
      </fill>
      <alignment vertical="center" readingOrder="0"/>
    </dxf>
  </rfmt>
  <rfmt sheetId="38" sqref="E17" start="0" length="0">
    <dxf>
      <font>
        <sz val="11"/>
        <color auto="1"/>
        <name val="Arial Narrow"/>
        <scheme val="none"/>
      </font>
      <numFmt numFmtId="13" formatCode="0%"/>
      <fill>
        <patternFill patternType="solid">
          <bgColor theme="9" tint="0.79998168889431442"/>
        </patternFill>
      </fill>
      <alignment vertical="center" readingOrder="0"/>
    </dxf>
  </rfmt>
  <rfmt sheetId="38" sqref="F17" start="0" length="0">
    <dxf>
      <font>
        <sz val="11"/>
        <color auto="1"/>
        <name val="Arial Narrow"/>
        <scheme val="none"/>
      </font>
      <numFmt numFmtId="13" formatCode="0%"/>
      <fill>
        <patternFill patternType="solid">
          <bgColor theme="9" tint="0.79998168889431442"/>
        </patternFill>
      </fill>
      <alignment vertical="center" readingOrder="0"/>
    </dxf>
  </rfmt>
  <rfmt sheetId="38" sqref="G17" start="0" length="0">
    <dxf>
      <font>
        <sz val="11"/>
        <color theme="1"/>
        <name val="Arial Narrow"/>
        <scheme val="none"/>
      </font>
      <fill>
        <patternFill patternType="solid">
          <bgColor theme="0"/>
        </patternFill>
      </fill>
      <alignment vertical="center" readingOrder="0"/>
    </dxf>
  </rfmt>
  <rfmt sheetId="38" sqref="A18" start="0" length="0">
    <dxf>
      <font>
        <sz val="11"/>
        <color auto="1"/>
        <name val="Arial Narrow"/>
        <scheme val="none"/>
      </font>
      <fill>
        <patternFill patternType="solid">
          <bgColor theme="0"/>
        </patternFill>
      </fill>
      <alignment vertical="center" readingOrder="0"/>
    </dxf>
  </rfmt>
  <rfmt sheetId="38" sqref="B18" start="0" length="0">
    <dxf>
      <font>
        <sz val="11"/>
        <color auto="1"/>
        <name val="Arial Narrow"/>
        <scheme val="none"/>
      </font>
      <fill>
        <patternFill patternType="solid">
          <bgColor theme="0"/>
        </patternFill>
      </fill>
      <alignment vertical="center" readingOrder="0"/>
    </dxf>
  </rfmt>
  <rfmt sheetId="38" sqref="C18" start="0" length="0">
    <dxf>
      <font>
        <sz val="11"/>
        <color auto="1"/>
        <name val="Arial Narrow"/>
        <scheme val="none"/>
      </font>
      <numFmt numFmtId="2" formatCode="0.00"/>
      <fill>
        <patternFill patternType="solid">
          <bgColor theme="0"/>
        </patternFill>
      </fill>
      <alignment horizontal="center" vertical="center" readingOrder="0"/>
    </dxf>
  </rfmt>
  <rfmt sheetId="38" sqref="D18" start="0" length="0">
    <dxf>
      <font>
        <sz val="11"/>
        <color auto="1"/>
        <name val="Arial Narrow"/>
        <scheme val="none"/>
      </font>
      <numFmt numFmtId="13" formatCode="0%"/>
      <fill>
        <patternFill patternType="solid">
          <bgColor theme="0"/>
        </patternFill>
      </fill>
      <alignment vertical="center" readingOrder="0"/>
    </dxf>
  </rfmt>
  <rfmt sheetId="38" sqref="E18" start="0" length="0">
    <dxf>
      <font>
        <sz val="11"/>
        <color auto="1"/>
        <name val="Arial Narrow"/>
        <scheme val="none"/>
      </font>
      <numFmt numFmtId="13" formatCode="0%"/>
      <fill>
        <patternFill patternType="solid">
          <bgColor theme="0"/>
        </patternFill>
      </fill>
      <alignment vertical="center" readingOrder="0"/>
    </dxf>
  </rfmt>
  <rfmt sheetId="38" sqref="F18" start="0" length="0">
    <dxf>
      <font>
        <sz val="11"/>
        <color auto="1"/>
        <name val="Arial Narrow"/>
        <scheme val="none"/>
      </font>
      <numFmt numFmtId="13" formatCode="0%"/>
      <fill>
        <patternFill patternType="solid">
          <bgColor theme="0"/>
        </patternFill>
      </fill>
      <alignment vertical="center" readingOrder="0"/>
    </dxf>
  </rfmt>
  <rfmt sheetId="38" sqref="G18" start="0" length="0">
    <dxf>
      <font>
        <sz val="11"/>
        <color theme="1"/>
        <name val="Arial Narrow"/>
        <scheme val="none"/>
      </font>
      <fill>
        <patternFill patternType="solid">
          <bgColor theme="0"/>
        </patternFill>
      </fill>
      <alignment vertical="center" readingOrder="0"/>
    </dxf>
  </rfmt>
  <rcc rId="10919" sId="38" odxf="1" dxf="1">
    <nc r="A19" t="inlineStr">
      <is>
        <t xml:space="preserve">Döcke LUX Аксессуары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920" sId="38" odxf="1" dxf="1">
    <nc r="B1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8" sqref="C19" start="0" length="0">
    <dxf>
      <font>
        <b/>
        <sz val="11"/>
        <color auto="1"/>
        <name val="Arial Narrow"/>
        <scheme val="none"/>
      </font>
      <numFmt numFmtId="2" formatCode="0.00"/>
      <fill>
        <patternFill patternType="solid">
          <bgColor theme="0"/>
        </patternFill>
      </fill>
      <alignment horizontal="center" vertical="center" readingOrder="0"/>
    </dxf>
  </rfmt>
  <rfmt sheetId="38" sqref="D1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E1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F1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38" sqref="G19" start="0" length="0">
    <dxf>
      <font>
        <b/>
        <sz val="11"/>
        <color theme="1"/>
        <name val="Arial Narrow"/>
        <scheme val="none"/>
      </font>
      <fill>
        <patternFill patternType="solid">
          <bgColor theme="0"/>
        </patternFill>
      </fill>
      <alignment vertical="center" readingOrder="0"/>
    </dxf>
  </rfmt>
  <rcc rId="10921" sId="38" odxf="1" dxf="1">
    <nc r="A20" t="inlineStr">
      <is>
        <t>Н-профиль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22" sId="38" odxf="1" dxf="1">
    <nc r="B20">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0" start="0" length="0">
    <dxf>
      <font>
        <sz val="6"/>
        <color rgb="FFFF0000"/>
        <name val="Arial Narrow"/>
        <scheme val="none"/>
      </font>
      <numFmt numFmtId="2" formatCode="0.00"/>
      <fill>
        <patternFill patternType="solid">
          <bgColor theme="0"/>
        </patternFill>
      </fill>
      <alignment horizontal="center" vertical="center" readingOrder="0"/>
    </dxf>
  </rfmt>
  <rcc rId="10923" sId="38" odxf="1" dxf="1">
    <nc r="D20" t="inlineStr">
      <is>
        <t>436,37р.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24" sId="38" odxf="1" dxf="1">
    <nc r="E20" t="inlineStr">
      <is>
        <t>481,71р.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25" sId="38" odxf="1" dxf="1">
    <nc r="F20" t="inlineStr">
      <is>
        <t>566,72р.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0" start="0" length="0">
    <dxf>
      <font>
        <sz val="11"/>
        <color rgb="FF0000FF"/>
        <name val="Arial Narrow"/>
        <scheme val="none"/>
      </font>
      <fill>
        <patternFill patternType="solid">
          <bgColor theme="0"/>
        </patternFill>
      </fill>
      <alignment vertical="center" readingOrder="0"/>
    </dxf>
  </rfmt>
  <rcc rId="10926" sId="38" odxf="1" dxf="1">
    <nc r="A21"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27" sId="38" odxf="1" dxf="1">
    <nc r="B21">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1" start="0" length="0">
    <dxf>
      <font>
        <sz val="6"/>
        <color rgb="FFFF0000"/>
        <name val="Arial Narrow"/>
        <scheme val="none"/>
      </font>
      <numFmt numFmtId="2" formatCode="0.00"/>
      <fill>
        <patternFill patternType="solid">
          <bgColor theme="0"/>
        </patternFill>
      </fill>
      <alignment horizontal="center" vertical="center" readingOrder="0"/>
    </dxf>
  </rfmt>
  <rcc rId="10928" sId="38" odxf="1" dxf="1">
    <nc r="D21" t="inlineStr">
      <is>
        <t>172,45р.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29" sId="38" odxf="1" dxf="1">
    <nc r="E21" t="inlineStr">
      <is>
        <t>190,37р.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0" sId="38" odxf="1" dxf="1">
    <nc r="F21" t="inlineStr">
      <is>
        <t>223,96р.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1" start="0" length="0">
    <dxf>
      <font>
        <sz val="11"/>
        <color rgb="FF0000FF"/>
        <name val="Arial Narrow"/>
        <scheme val="none"/>
      </font>
      <fill>
        <patternFill patternType="solid">
          <bgColor theme="0"/>
        </patternFill>
      </fill>
      <alignment vertical="center" readingOrder="0"/>
    </dxf>
  </rfmt>
  <rcc rId="10931" sId="38" odxf="1" dxf="1">
    <nc r="A22" t="inlineStr">
      <is>
        <t>Внешний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32" sId="38" odxf="1" dxf="1">
    <nc r="B22">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2" start="0" length="0">
    <dxf>
      <font>
        <sz val="6"/>
        <color rgb="FFFF0000"/>
        <name val="Arial Narrow"/>
        <scheme val="none"/>
      </font>
      <numFmt numFmtId="2" formatCode="0.00"/>
      <fill>
        <patternFill patternType="solid">
          <bgColor theme="0"/>
        </patternFill>
      </fill>
      <alignment horizontal="center" vertical="center" readingOrder="0"/>
    </dxf>
  </rfmt>
  <rcc rId="10933" sId="38" odxf="1" dxf="1">
    <nc r="D22" t="inlineStr">
      <is>
        <t>547,82р.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4" sId="38" odxf="1" dxf="1">
    <nc r="E22" t="inlineStr">
      <is>
        <t>604,74р.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5" sId="38" odxf="1" dxf="1">
    <nc r="F22" t="inlineStr">
      <is>
        <t>711,46р.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2" start="0" length="0">
    <dxf>
      <font>
        <sz val="11"/>
        <color rgb="FF0000FF"/>
        <name val="Arial Narrow"/>
        <scheme val="none"/>
      </font>
      <fill>
        <patternFill patternType="solid">
          <bgColor theme="0"/>
        </patternFill>
      </fill>
      <alignment vertical="center" readingOrder="0"/>
    </dxf>
  </rfmt>
  <rcc rId="10936" sId="38" odxf="1" dxf="1">
    <nc r="A23" t="inlineStr">
      <is>
        <t>Внутренний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37" sId="38" odxf="1" dxf="1">
    <nc r="B23">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3" start="0" length="0">
    <dxf>
      <font>
        <sz val="6"/>
        <color rgb="FFFF0000"/>
        <name val="Arial Narrow"/>
        <scheme val="none"/>
      </font>
      <numFmt numFmtId="2" formatCode="0.00"/>
      <fill>
        <patternFill patternType="solid">
          <bgColor theme="0"/>
        </patternFill>
      </fill>
      <alignment horizontal="center" vertical="center" readingOrder="0"/>
    </dxf>
  </rfmt>
  <rcc rId="10938" sId="38" odxf="1" dxf="1">
    <nc r="D23" t="inlineStr">
      <is>
        <t>428,80р.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9" sId="38" odxf="1" dxf="1">
    <nc r="E23" t="inlineStr">
      <is>
        <t>473,35р.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40" sId="38" odxf="1" dxf="1">
    <nc r="F23" t="inlineStr">
      <is>
        <t>556,88р.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3" start="0" length="0">
    <dxf>
      <font>
        <sz val="11"/>
        <color rgb="FF0000FF"/>
        <name val="Arial Narrow"/>
        <scheme val="none"/>
      </font>
      <fill>
        <patternFill patternType="solid">
          <bgColor theme="0"/>
        </patternFill>
      </fill>
      <alignment vertical="center" readingOrder="0"/>
    </dxf>
  </rfmt>
  <rcc rId="10941" sId="38" odxf="1" dxf="1">
    <nc r="A24" t="inlineStr">
      <is>
        <t>Финишный профиль</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942" sId="38" odxf="1" dxf="1">
    <nc r="B24">
      <v>60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4" start="0" length="0">
    <dxf>
      <font>
        <sz val="6"/>
        <color rgb="FFFF0000"/>
        <name val="Arial Narrow"/>
        <scheme val="none"/>
      </font>
      <numFmt numFmtId="2" formatCode="0.00"/>
      <fill>
        <patternFill patternType="solid">
          <bgColor theme="0"/>
        </patternFill>
      </fill>
      <alignment horizontal="center" vertical="center" readingOrder="0"/>
    </dxf>
  </rfmt>
  <rcc rId="10943" sId="38" odxf="1" dxf="1">
    <nc r="D24" t="inlineStr">
      <is>
        <t>158,76р.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44" sId="38" odxf="1" dxf="1">
    <nc r="E24" t="inlineStr">
      <is>
        <t>175,25р.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45" sId="38" odxf="1" dxf="1">
    <nc r="F24" t="inlineStr">
      <is>
        <t>206,18р.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4" start="0" length="0">
    <dxf>
      <font>
        <sz val="11"/>
        <color theme="1"/>
        <name val="Arial Narrow"/>
        <scheme val="none"/>
      </font>
      <fill>
        <patternFill patternType="solid">
          <bgColor theme="0"/>
        </patternFill>
      </fill>
      <alignment vertical="center" readingOrder="0"/>
    </dxf>
  </rfmt>
  <rfmt sheetId="38" sqref="A25" start="0" length="0">
    <dxf>
      <font>
        <sz val="11"/>
        <color theme="1"/>
        <name val="Arial Narrow"/>
        <scheme val="none"/>
      </font>
      <fill>
        <patternFill patternType="solid">
          <bgColor theme="0"/>
        </patternFill>
      </fill>
      <alignment vertical="center" readingOrder="0"/>
    </dxf>
  </rfmt>
  <rfmt sheetId="38" sqref="B25" start="0" length="0">
    <dxf>
      <font>
        <sz val="11"/>
        <color theme="1"/>
        <name val="Arial Narrow"/>
        <scheme val="none"/>
      </font>
      <fill>
        <patternFill patternType="solid">
          <bgColor theme="0"/>
        </patternFill>
      </fill>
      <alignment vertical="center" readingOrder="0"/>
    </dxf>
  </rfmt>
  <rfmt sheetId="38" sqref="C25" start="0" length="0">
    <dxf>
      <font>
        <sz val="11"/>
        <color auto="1"/>
        <name val="Arial Narrow"/>
        <scheme val="none"/>
      </font>
      <fill>
        <patternFill patternType="solid">
          <bgColor theme="0"/>
        </patternFill>
      </fill>
      <alignment vertical="center" readingOrder="0"/>
    </dxf>
  </rfmt>
  <rfmt sheetId="38" sqref="D25" start="0" length="0">
    <dxf>
      <font>
        <sz val="11"/>
        <color auto="1"/>
        <name val="Arial Narrow"/>
        <scheme val="none"/>
      </font>
      <numFmt numFmtId="13" formatCode="0%"/>
      <fill>
        <patternFill patternType="solid">
          <bgColor theme="9" tint="0.79998168889431442"/>
        </patternFill>
      </fill>
      <alignment vertical="center" readingOrder="0"/>
    </dxf>
  </rfmt>
  <rfmt sheetId="38" sqref="E25" start="0" length="0">
    <dxf>
      <font>
        <sz val="11"/>
        <color auto="1"/>
        <name val="Arial Narrow"/>
        <scheme val="none"/>
      </font>
      <numFmt numFmtId="13" formatCode="0%"/>
      <fill>
        <patternFill patternType="solid">
          <bgColor theme="9" tint="0.79998168889431442"/>
        </patternFill>
      </fill>
      <alignment vertical="center" readingOrder="0"/>
    </dxf>
  </rfmt>
  <rfmt sheetId="38" sqref="F25" start="0" length="0">
    <dxf>
      <font>
        <sz val="11"/>
        <color auto="1"/>
        <name val="Arial Narrow"/>
        <scheme val="none"/>
      </font>
      <numFmt numFmtId="13" formatCode="0%"/>
      <fill>
        <patternFill patternType="solid">
          <bgColor theme="9" tint="0.79998168889431442"/>
        </patternFill>
      </fill>
      <alignment vertical="center" readingOrder="0"/>
    </dxf>
  </rfmt>
  <rfmt sheetId="38" sqref="G25" start="0" length="0">
    <dxf>
      <font>
        <sz val="11"/>
        <color theme="1"/>
        <name val="Arial Narrow"/>
        <scheme val="none"/>
      </font>
      <fill>
        <patternFill patternType="solid">
          <bgColor theme="0"/>
        </patternFill>
      </fill>
      <alignment vertical="center" readingOrder="0"/>
    </dxf>
  </rfmt>
  <rfmt sheetId="38" sqref="A26" start="0" length="0">
    <dxf>
      <font>
        <sz val="11"/>
        <color auto="1"/>
        <name val="Arial Narrow"/>
        <scheme val="none"/>
      </font>
      <fill>
        <patternFill patternType="solid">
          <bgColor theme="0"/>
        </patternFill>
      </fill>
      <alignment vertical="center" readingOrder="0"/>
    </dxf>
  </rfmt>
  <rfmt sheetId="38" sqref="B26" start="0" length="0">
    <dxf>
      <font>
        <sz val="11"/>
        <color auto="1"/>
        <name val="Arial Narrow"/>
        <scheme val="none"/>
      </font>
      <fill>
        <patternFill patternType="solid">
          <bgColor theme="0"/>
        </patternFill>
      </fill>
      <alignment vertical="center" readingOrder="0"/>
    </dxf>
  </rfmt>
  <rfmt sheetId="38" sqref="C26" start="0" length="0">
    <dxf>
      <font>
        <sz val="11"/>
        <color auto="1"/>
        <name val="Arial Narrow"/>
        <scheme val="none"/>
      </font>
      <fill>
        <patternFill patternType="solid">
          <bgColor theme="0"/>
        </patternFill>
      </fill>
      <alignment vertical="center" readingOrder="0"/>
    </dxf>
  </rfmt>
  <rfmt sheetId="38" sqref="D26" start="0" length="0">
    <dxf>
      <font>
        <sz val="11"/>
        <color auto="1"/>
        <name val="Arial Narrow"/>
        <scheme val="none"/>
      </font>
      <fill>
        <patternFill patternType="solid">
          <bgColor theme="0"/>
        </patternFill>
      </fill>
      <alignment vertical="center" readingOrder="0"/>
    </dxf>
  </rfmt>
  <rfmt sheetId="38" sqref="E26" start="0" length="0">
    <dxf>
      <font>
        <sz val="11"/>
        <color auto="1"/>
        <name val="Arial Narrow"/>
        <scheme val="none"/>
      </font>
      <numFmt numFmtId="167" formatCode="#,##0.00&quot;р.&quot;"/>
      <fill>
        <patternFill patternType="solid">
          <bgColor theme="0"/>
        </patternFill>
      </fill>
      <alignment vertical="center" readingOrder="0"/>
    </dxf>
  </rfmt>
  <rfmt sheetId="38" sqref="F26" start="0" length="0">
    <dxf>
      <font>
        <sz val="11"/>
        <color auto="1"/>
        <name val="Arial Narrow"/>
        <scheme val="none"/>
      </font>
      <fill>
        <patternFill patternType="solid">
          <bgColor theme="0"/>
        </patternFill>
      </fill>
      <alignment vertical="center" readingOrder="0"/>
    </dxf>
  </rfmt>
  <rfmt sheetId="38" sqref="G26" start="0" length="0">
    <dxf>
      <font>
        <sz val="11"/>
        <color theme="1"/>
        <name val="Arial Narrow"/>
        <scheme val="none"/>
      </font>
      <fill>
        <patternFill patternType="solid">
          <bgColor theme="0"/>
        </patternFill>
      </fill>
      <alignment vertical="center" readingOrder="0"/>
    </dxf>
  </rfmt>
  <rfmt sheetId="38" sqref="A27" start="0" length="0">
    <dxf>
      <font>
        <sz val="11"/>
        <color theme="1"/>
        <name val="Arial Narrow"/>
        <scheme val="none"/>
      </font>
      <fill>
        <patternFill patternType="solid">
          <bgColor theme="8" tint="0.79998168889431442"/>
        </patternFill>
      </fill>
      <alignment vertical="center" readingOrder="0"/>
    </dxf>
  </rfmt>
  <rfmt sheetId="38" sqref="B27" start="0" length="0">
    <dxf>
      <font>
        <sz val="11"/>
        <color theme="1"/>
        <name val="Arial Narrow"/>
        <scheme val="none"/>
      </font>
      <fill>
        <patternFill patternType="solid">
          <bgColor theme="8" tint="0.79998168889431442"/>
        </patternFill>
      </fill>
      <alignment vertical="center" readingOrder="0"/>
    </dxf>
  </rfmt>
  <rfmt sheetId="38" sqref="C27" start="0" length="0">
    <dxf>
      <font>
        <sz val="11"/>
        <color auto="1"/>
        <name val="Arial Narrow"/>
        <scheme val="none"/>
      </font>
      <fill>
        <patternFill patternType="solid">
          <bgColor theme="8" tint="0.79998168889431442"/>
        </patternFill>
      </fill>
      <alignment vertical="center" readingOrder="0"/>
    </dxf>
  </rfmt>
  <rfmt sheetId="38" sqref="D27" start="0" length="0">
    <dxf>
      <font>
        <sz val="11"/>
        <color auto="1"/>
        <name val="Arial Narrow"/>
        <scheme val="none"/>
      </font>
      <fill>
        <patternFill patternType="solid">
          <bgColor theme="8" tint="0.79998168889431442"/>
        </patternFill>
      </fill>
      <alignment vertical="center" readingOrder="0"/>
    </dxf>
  </rfmt>
  <rfmt sheetId="38" sqref="E27" start="0" length="0">
    <dxf>
      <font>
        <b/>
        <sz val="11"/>
        <color auto="1"/>
        <name val="Arial Narrow"/>
        <scheme val="none"/>
      </font>
      <fill>
        <patternFill patternType="solid">
          <bgColor theme="0"/>
        </patternFill>
      </fill>
      <alignment vertical="center" readingOrder="0"/>
    </dxf>
  </rfmt>
  <rcc rId="10946" sId="38" odxf="1" dxf="1">
    <nc r="F27"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fmt sheetId="38" sqref="G27" start="0" length="0">
    <dxf>
      <font>
        <sz val="11"/>
        <color theme="1"/>
        <name val="Arial Narrow"/>
        <scheme val="none"/>
      </font>
      <fill>
        <patternFill patternType="solid">
          <bgColor theme="8" tint="0.79998168889431442"/>
        </patternFill>
      </fill>
      <alignment vertical="center" readingOrder="0"/>
    </dxf>
  </rfmt>
  <rrc rId="10947" sId="38" ref="A3:XFD3" action="deleteRow">
    <rfmt sheetId="38" xfDxf="1" sqref="A3:XFD3" start="0" length="0"/>
  </rrc>
  <rcc rId="10948" sId="38"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8"/>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8" sqref="B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C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D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E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F1" start="0" length="0">
    <dxf>
      <font>
        <sz val="18"/>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8" sqref="A1:G1" start="0" length="2147483647">
    <dxf>
      <font>
        <sz val="16"/>
      </font>
    </dxf>
  </rfmt>
  <rrc rId="10949" sId="38" ref="A2:XFD2" action="deleteRow">
    <rfmt sheetId="38" xfDxf="1" sqref="A2:XFD2" start="0" length="0"/>
  </rrc>
  <rrc rId="10950" sId="38" ref="A24:XFD24" action="deleteRow">
    <rfmt sheetId="38" xfDxf="1" sqref="A24:XFD24" start="0" length="0"/>
    <rfmt sheetId="38" sqref="A24" start="0" length="0">
      <dxf>
        <font>
          <sz val="11"/>
          <color auto="1"/>
          <name val="Arial Narrow"/>
          <scheme val="none"/>
        </font>
        <fill>
          <patternFill patternType="solid">
            <bgColor theme="0"/>
          </patternFill>
        </fill>
        <alignment vertical="center" readingOrder="0"/>
      </dxf>
    </rfmt>
    <rfmt sheetId="38" sqref="B24" start="0" length="0">
      <dxf>
        <font>
          <sz val="11"/>
          <color auto="1"/>
          <name val="Arial Narrow"/>
          <scheme val="none"/>
        </font>
        <fill>
          <patternFill patternType="solid">
            <bgColor theme="0"/>
          </patternFill>
        </fill>
        <alignment vertical="center" readingOrder="0"/>
      </dxf>
    </rfmt>
    <rfmt sheetId="38" sqref="C24" start="0" length="0">
      <dxf>
        <font>
          <sz val="11"/>
          <color auto="1"/>
          <name val="Arial Narrow"/>
          <scheme val="none"/>
        </font>
        <fill>
          <patternFill patternType="solid">
            <bgColor theme="0"/>
          </patternFill>
        </fill>
        <alignment vertical="center" readingOrder="0"/>
      </dxf>
    </rfmt>
    <rfmt sheetId="38" sqref="D24" start="0" length="0">
      <dxf>
        <font>
          <sz val="11"/>
          <color auto="1"/>
          <name val="Arial Narrow"/>
          <scheme val="none"/>
        </font>
        <fill>
          <patternFill patternType="solid">
            <bgColor theme="0"/>
          </patternFill>
        </fill>
        <alignment vertical="center" readingOrder="0"/>
      </dxf>
    </rfmt>
    <rfmt sheetId="38" sqref="E24" start="0" length="0">
      <dxf>
        <font>
          <sz val="11"/>
          <color auto="1"/>
          <name val="Arial Narrow"/>
          <scheme val="none"/>
        </font>
        <numFmt numFmtId="167" formatCode="#,##0.00&quot;р.&quot;"/>
        <fill>
          <patternFill patternType="solid">
            <bgColor theme="0"/>
          </patternFill>
        </fill>
        <alignment vertical="center" readingOrder="0"/>
      </dxf>
    </rfmt>
    <rfmt sheetId="38" sqref="F24" start="0" length="0">
      <dxf>
        <font>
          <sz val="11"/>
          <color auto="1"/>
          <name val="Arial Narrow"/>
          <scheme val="none"/>
        </font>
        <fill>
          <patternFill patternType="solid">
            <bgColor theme="0"/>
          </patternFill>
        </fill>
        <alignment vertical="center" readingOrder="0"/>
      </dxf>
    </rfmt>
    <rfmt sheetId="38" sqref="G24" start="0" length="0">
      <dxf>
        <font>
          <sz val="11"/>
          <color theme="1"/>
          <name val="Arial Narrow"/>
          <scheme val="none"/>
        </font>
        <fill>
          <patternFill patternType="solid">
            <bgColor theme="0"/>
          </patternFill>
        </fill>
        <alignment vertical="center" readingOrder="0"/>
      </dxf>
    </rfmt>
  </rrc>
  <ris rId="10951" sheetId="39" name="[ПРАЙС ЦЕНТР-ТИМ 2019 обновленный.xlsx]Сайдинг PREMIUM, STANDARD" sheetPosition="38"/>
  <rcc rId="10952" sId="39" odxf="1" dxf="1">
    <nc r="A4" t="inlineStr">
      <is>
        <t>Виниловый сайдинг Döcke PREMIUM и STANDARD.</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9" sqref="B4" start="0" length="0">
    <dxf>
      <font>
        <b/>
        <sz val="11"/>
        <color theme="1"/>
        <name val="Arial Narrow"/>
        <scheme val="none"/>
      </font>
      <fill>
        <patternFill patternType="solid">
          <bgColor theme="0"/>
        </patternFill>
      </fill>
      <alignment vertical="center" readingOrder="0"/>
    </dxf>
  </rfmt>
  <rfmt sheetId="39" sqref="C4" start="0" length="0">
    <dxf>
      <font>
        <sz val="11"/>
        <color auto="1"/>
        <name val="Arial Narrow"/>
        <scheme val="none"/>
      </font>
      <fill>
        <patternFill patternType="solid">
          <bgColor theme="0"/>
        </patternFill>
      </fill>
      <alignment vertical="center" readingOrder="0"/>
    </dxf>
  </rfmt>
  <rfmt sheetId="39" sqref="D4" start="0" length="0">
    <dxf>
      <font>
        <b/>
        <sz val="11"/>
        <color auto="1"/>
        <name val="Arial Narrow"/>
        <scheme val="none"/>
      </font>
      <fill>
        <patternFill patternType="solid">
          <bgColor theme="0"/>
        </patternFill>
      </fill>
      <alignment horizontal="right" vertical="center" readingOrder="0"/>
    </dxf>
  </rfmt>
  <rfmt sheetId="39" sqref="E4" start="0" length="0">
    <dxf>
      <font>
        <b/>
        <sz val="11"/>
        <color auto="1"/>
        <name val="Arial Narrow"/>
        <scheme val="none"/>
      </font>
      <fill>
        <patternFill patternType="solid">
          <bgColor theme="0"/>
        </patternFill>
      </fill>
      <alignment horizontal="right" vertical="center" readingOrder="0"/>
    </dxf>
  </rfmt>
  <rfmt sheetId="39" sqref="F4" start="0" length="0">
    <dxf>
      <font>
        <b/>
        <sz val="11"/>
        <color auto="1"/>
        <name val="Arial Narrow"/>
        <scheme val="none"/>
      </font>
      <fill>
        <patternFill patternType="solid">
          <bgColor theme="0"/>
        </patternFill>
      </fill>
      <alignment horizontal="right" vertical="center" readingOrder="0"/>
    </dxf>
  </rfmt>
  <rfmt sheetId="39" sqref="A5" start="0" length="0">
    <dxf>
      <font>
        <sz val="11"/>
        <color theme="1"/>
        <name val="Arial Narrow"/>
        <scheme val="none"/>
      </font>
      <fill>
        <patternFill patternType="solid">
          <bgColor theme="0"/>
        </patternFill>
      </fill>
      <alignment vertical="center" readingOrder="0"/>
    </dxf>
  </rfmt>
  <rfmt sheetId="39" sqref="B5" start="0" length="0">
    <dxf>
      <font>
        <sz val="11"/>
        <color theme="1"/>
        <name val="Arial Narrow"/>
        <scheme val="none"/>
      </font>
      <fill>
        <patternFill patternType="solid">
          <bgColor theme="0"/>
        </patternFill>
      </fill>
      <alignment vertical="center" readingOrder="0"/>
    </dxf>
  </rfmt>
  <rfmt sheetId="39" sqref="C5" start="0" length="0">
    <dxf>
      <font>
        <sz val="11"/>
        <color auto="1"/>
        <name val="Arial Narrow"/>
        <scheme val="none"/>
      </font>
      <fill>
        <patternFill patternType="solid">
          <bgColor theme="0"/>
        </patternFill>
      </fill>
      <alignment vertical="center" readingOrder="0"/>
    </dxf>
  </rfmt>
  <rfmt sheetId="39" sqref="D5" start="0" length="0">
    <dxf>
      <font>
        <sz val="11"/>
        <color auto="1"/>
        <name val="Arial Narrow"/>
        <scheme val="none"/>
      </font>
      <fill>
        <patternFill patternType="solid">
          <bgColor theme="0"/>
        </patternFill>
      </fill>
      <alignment vertical="center" readingOrder="0"/>
    </dxf>
  </rfmt>
  <rfmt sheetId="39" sqref="E5" start="0" length="0">
    <dxf>
      <font>
        <sz val="11"/>
        <color auto="1"/>
        <name val="Arial Narrow"/>
        <scheme val="none"/>
      </font>
      <fill>
        <patternFill patternType="solid">
          <bgColor theme="0"/>
        </patternFill>
      </fill>
      <alignment vertical="center" readingOrder="0"/>
    </dxf>
  </rfmt>
  <rfmt sheetId="39" sqref="F5" start="0" length="0">
    <dxf>
      <font>
        <sz val="11"/>
        <color auto="1"/>
        <name val="Arial Narrow"/>
        <scheme val="none"/>
      </font>
      <fill>
        <patternFill patternType="solid">
          <bgColor theme="0"/>
        </patternFill>
      </fill>
      <alignment vertical="center" readingOrder="0"/>
    </dxf>
  </rfmt>
  <rfmt sheetId="39" sqref="A6" start="0" length="0">
    <dxf>
      <font>
        <sz val="11"/>
        <color theme="1"/>
        <name val="Arial Narrow"/>
        <scheme val="none"/>
      </font>
      <fill>
        <patternFill patternType="solid">
          <bgColor rgb="FF92D050"/>
        </patternFill>
      </fill>
      <alignment vertical="center" readingOrder="0"/>
    </dxf>
  </rfmt>
  <rfmt sheetId="39" sqref="B6" start="0" length="0">
    <dxf>
      <font>
        <sz val="11"/>
        <color theme="1"/>
        <name val="Arial Narrow"/>
        <scheme val="none"/>
      </font>
      <fill>
        <patternFill patternType="solid">
          <bgColor rgb="FF92D050"/>
        </patternFill>
      </fill>
      <alignment vertical="center" readingOrder="0"/>
    </dxf>
  </rfmt>
  <rfmt sheetId="39" sqref="C6" start="0" length="0">
    <dxf>
      <font>
        <sz val="11"/>
        <color auto="1"/>
        <name val="Arial Narrow"/>
        <scheme val="none"/>
      </font>
      <fill>
        <patternFill patternType="solid">
          <bgColor theme="0"/>
        </patternFill>
      </fill>
      <alignment vertical="center" readingOrder="0"/>
    </dxf>
  </rfmt>
  <rfmt sheetId="39" sqref="D6" start="0" length="0">
    <dxf>
      <font>
        <b/>
        <sz val="11"/>
        <color auto="1"/>
        <name val="Arial Narrow"/>
        <scheme val="none"/>
      </font>
      <fill>
        <patternFill patternType="solid">
          <bgColor theme="5" tint="0.39997558519241921"/>
        </patternFill>
      </fill>
      <alignment horizontal="center" vertical="center" readingOrder="0"/>
    </dxf>
  </rfmt>
  <rfmt sheetId="39" sqref="E6" start="0" length="0">
    <dxf>
      <font>
        <b/>
        <sz val="11"/>
        <color auto="1"/>
        <name val="Arial Narrow"/>
        <scheme val="none"/>
      </font>
      <fill>
        <patternFill patternType="solid">
          <bgColor rgb="FFFFFF00"/>
        </patternFill>
      </fill>
      <alignment horizontal="center" vertical="center" readingOrder="0"/>
    </dxf>
  </rfmt>
  <rfmt sheetId="39" sqref="F6" start="0" length="0">
    <dxf>
      <font>
        <b/>
        <sz val="11"/>
        <color auto="1"/>
        <name val="Arial Narrow"/>
        <scheme val="none"/>
      </font>
      <fill>
        <patternFill patternType="solid">
          <bgColor rgb="FFCCFFCC"/>
        </patternFill>
      </fill>
      <alignment horizontal="center" vertical="center" readingOrder="0"/>
    </dxf>
  </rfmt>
  <rcc rId="10953" sId="39"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20"/>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954" sId="39"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9" sqref="C7" start="0" length="0">
    <dxf>
      <font>
        <b/>
        <u/>
        <sz val="12"/>
        <color auto="1"/>
        <name val="Arial Narrow"/>
        <scheme val="none"/>
      </font>
      <fill>
        <patternFill patternType="solid">
          <bgColor theme="0"/>
        </patternFill>
      </fill>
      <alignment horizontal="center" vertical="center" wrapText="1" readingOrder="0"/>
    </dxf>
  </rfmt>
  <rcc rId="10955" sId="39"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956" sId="39"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957" sId="39"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9" sqref="A8" start="0" length="0">
    <dxf>
      <font>
        <sz val="11"/>
        <color auto="1"/>
        <name val="Arial Narrow"/>
        <scheme val="none"/>
      </font>
      <alignment vertical="center" readingOrder="0"/>
    </dxf>
  </rfmt>
  <rfmt sheetId="39" sqref="B8" start="0" length="0">
    <dxf>
      <font>
        <sz val="11"/>
        <color auto="1"/>
        <name val="Arial Narrow"/>
        <scheme val="none"/>
      </font>
      <alignment vertical="center" readingOrder="0"/>
    </dxf>
  </rfmt>
  <rfmt sheetId="39" sqref="C8" start="0" length="0">
    <dxf>
      <font>
        <sz val="11"/>
        <color auto="1"/>
        <name val="Arial Narrow"/>
        <scheme val="none"/>
      </font>
      <numFmt numFmtId="167" formatCode="#,##0.00&quot;р.&quot;"/>
      <fill>
        <patternFill patternType="solid">
          <bgColor theme="0"/>
        </patternFill>
      </fill>
      <alignment vertical="center" readingOrder="0"/>
    </dxf>
  </rfmt>
  <rfmt sheetId="39" sqref="D8" start="0" length="0">
    <dxf>
      <font>
        <sz val="11"/>
        <color auto="1"/>
        <name val="Arial Narrow"/>
        <scheme val="none"/>
      </font>
      <numFmt numFmtId="167" formatCode="#,##0.00&quot;р.&quot;"/>
      <fill>
        <patternFill patternType="solid">
          <bgColor theme="0"/>
        </patternFill>
      </fill>
      <alignment vertical="center" readingOrder="0"/>
    </dxf>
  </rfmt>
  <rfmt sheetId="39" sqref="E8" start="0" length="0">
    <dxf>
      <font>
        <sz val="11"/>
        <color auto="1"/>
        <name val="Arial Narrow"/>
        <scheme val="none"/>
      </font>
      <numFmt numFmtId="167" formatCode="#,##0.00&quot;р.&quot;"/>
      <fill>
        <patternFill patternType="solid">
          <bgColor theme="0"/>
        </patternFill>
      </fill>
      <alignment vertical="center" readingOrder="0"/>
    </dxf>
  </rfmt>
  <rfmt sheetId="39" sqref="F8" start="0" length="0">
    <dxf>
      <font>
        <sz val="11"/>
        <color auto="1"/>
        <name val="Arial Narrow"/>
        <scheme val="none"/>
      </font>
      <numFmt numFmtId="167" formatCode="#,##0.00&quot;р.&quot;"/>
      <fill>
        <patternFill patternType="solid">
          <bgColor theme="0"/>
        </patternFill>
      </fill>
      <alignment vertical="center" readingOrder="0"/>
    </dxf>
  </rfmt>
  <rcc rId="10958" sId="39" odxf="1" dxf="1">
    <nc r="A9" t="inlineStr">
      <is>
        <t>Серия Döcke PREMIUM</t>
      </is>
    </nc>
    <odxf>
      <font>
        <b val="0"/>
        <sz val="11"/>
        <color theme="1"/>
        <name val="Calibri"/>
        <scheme val="minor"/>
      </font>
      <fill>
        <patternFill patternType="none">
          <bgColor indexed="65"/>
        </patternFill>
      </fill>
      <alignment vertical="bottom" readingOrder="0"/>
      <border outline="0">
        <left/>
        <top/>
        <bottom/>
      </border>
    </odxf>
    <ndxf>
      <font>
        <b/>
        <sz val="16"/>
        <color theme="1"/>
        <name val="Arial Narrow"/>
        <scheme val="none"/>
      </font>
      <fill>
        <patternFill patternType="solid">
          <bgColor rgb="FF92D050"/>
        </patternFill>
      </fill>
      <alignment vertical="center" readingOrder="0"/>
      <border outline="0">
        <left style="thin">
          <color indexed="64"/>
        </left>
        <top style="thin">
          <color indexed="64"/>
        </top>
        <bottom style="thin">
          <color indexed="64"/>
        </bottom>
      </border>
    </ndxf>
  </rcc>
  <rfmt sheetId="39" sqref="B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C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D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E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F9" start="0" length="0">
    <dxf>
      <font>
        <sz val="11"/>
        <color theme="1"/>
        <name val="Arial Narrow"/>
        <scheme val="none"/>
      </font>
      <fill>
        <patternFill patternType="solid">
          <bgColor rgb="FF92D050"/>
        </patternFill>
      </fill>
      <alignment vertical="center" readingOrder="0"/>
      <border outline="0">
        <right style="thin">
          <color indexed="64"/>
        </right>
        <top style="thin">
          <color indexed="64"/>
        </top>
        <bottom style="thin">
          <color indexed="64"/>
        </bottom>
      </border>
    </dxf>
  </rfmt>
  <rcc rId="10959" sId="39" odxf="1" dxf="1">
    <nc r="A10" t="inlineStr">
      <is>
        <t>Сайдинг</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0960" sId="39" odxf="1" dxf="1">
    <nc r="B10"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10" start="0" length="0">
    <dxf>
      <font>
        <b/>
        <sz val="11"/>
        <color auto="1"/>
        <name val="Arial Narrow"/>
        <scheme val="none"/>
      </font>
      <numFmt numFmtId="2" formatCode="0.00"/>
      <fill>
        <patternFill patternType="solid">
          <bgColor theme="0"/>
        </patternFill>
      </fill>
      <alignment horizontal="center" vertical="center" readingOrder="0"/>
    </dxf>
  </rfmt>
  <rfmt sheetId="39" sqref="D1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1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1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0961" sId="39" odxf="1" dxf="1">
    <nc r="A11" t="inlineStr">
      <is>
        <t>Сайдинг D4,5D (все цвета, кроме Ирис, Пралине)</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62" sId="39" odxf="1" dxf="1">
    <nc r="B11">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1" start="0" length="0">
    <dxf>
      <font>
        <sz val="6"/>
        <color rgb="FFFF0000"/>
        <name val="Arial Narrow"/>
        <scheme val="none"/>
      </font>
      <numFmt numFmtId="2" formatCode="0.00"/>
      <fill>
        <patternFill patternType="solid">
          <bgColor theme="0"/>
        </patternFill>
      </fill>
      <alignment horizontal="center" vertical="center" readingOrder="0"/>
    </dxf>
  </rfmt>
  <rcc rId="10963" sId="39" odxf="1" dxf="1">
    <nc r="D11" t="inlineStr">
      <is>
        <t>184,40р.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64" sId="39" odxf="1" dxf="1">
    <nc r="E11" t="inlineStr">
      <is>
        <t>188,36р.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65" sId="39" odxf="1" dxf="1">
    <nc r="F11" t="inlineStr">
      <is>
        <t>198,28р.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66" sId="39" odxf="1" dxf="1">
    <nc r="A12" t="inlineStr">
      <is>
        <t>Сайдинг D4,5D (Ирис, Пралине)</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967" sId="39" odxf="1" dxf="1">
    <nc r="B12">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12" start="0" length="0">
    <dxf>
      <font>
        <sz val="6"/>
        <color rgb="FFFF0000"/>
        <name val="Arial Narrow"/>
        <scheme val="none"/>
      </font>
      <numFmt numFmtId="2" formatCode="0.00"/>
      <fill>
        <patternFill patternType="solid">
          <bgColor theme="0"/>
        </patternFill>
      </fill>
      <alignment horizontal="center" vertical="center" readingOrder="0"/>
    </dxf>
  </rfmt>
  <rcc rId="10968" sId="39" odxf="1" dxf="1">
    <nc r="D12" t="inlineStr">
      <is>
        <t>228,58р.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969" sId="39" odxf="1" dxf="1">
    <nc r="E12" t="inlineStr">
      <is>
        <t>233,49р.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970" sId="39" odxf="1" dxf="1">
    <nc r="F12" t="inlineStr">
      <is>
        <t>245,78р.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71" sId="39" odxf="1" dxf="1">
    <nc r="A13" t="inlineStr">
      <is>
        <t>Сайдинг S7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72" sId="39" odxf="1" dxf="1">
    <nc r="B13">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3" start="0" length="0">
    <dxf>
      <font>
        <sz val="6"/>
        <color rgb="FFFF0000"/>
        <name val="Arial Narrow"/>
        <scheme val="none"/>
      </font>
      <numFmt numFmtId="2" formatCode="0.00"/>
      <fill>
        <patternFill patternType="solid">
          <bgColor theme="0"/>
        </patternFill>
      </fill>
      <alignment horizontal="center" vertical="center" readingOrder="0"/>
    </dxf>
  </rfmt>
  <rcc rId="10973" sId="39" odxf="1" dxf="1">
    <nc r="D13" t="inlineStr">
      <is>
        <t>128,85р.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74" sId="39" odxf="1" dxf="1">
    <nc r="E13" t="inlineStr">
      <is>
        <t>131,62р.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75" sId="39" odxf="1" dxf="1">
    <nc r="F13" t="inlineStr">
      <is>
        <t>138,55р.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76" sId="39" odxf="1" dxf="1">
    <nc r="A14" t="inlineStr">
      <is>
        <t>Сайдинг D6S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77" sId="39" odxf="1" dxf="1">
    <nc r="B14">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4" start="0" length="0">
    <dxf>
      <font>
        <sz val="6"/>
        <color rgb="FFFF0000"/>
        <name val="Arial Narrow"/>
        <scheme val="none"/>
      </font>
      <numFmt numFmtId="2" formatCode="0.00"/>
      <fill>
        <patternFill patternType="solid">
          <bgColor theme="0"/>
        </patternFill>
      </fill>
      <alignment horizontal="center" vertical="center" readingOrder="0"/>
    </dxf>
  </rfmt>
  <rcc rId="10978" sId="39" odxf="1" dxf="1">
    <nc r="D14" t="inlineStr">
      <is>
        <t>237,09р.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79" sId="39" odxf="1" dxf="1">
    <nc r="E14" t="inlineStr">
      <is>
        <t>242,18р.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80" sId="39" odxf="1" dxf="1">
    <nc r="F14" t="inlineStr">
      <is>
        <t>254,93р.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81" sId="39" odxf="1" dxf="1">
    <nc r="A15" t="inlineStr">
      <is>
        <t>БлокХаус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82" sId="39" odxf="1" dxf="1">
    <nc r="B15">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5" start="0" length="0">
    <dxf>
      <font>
        <sz val="6"/>
        <color rgb="FFFF0000"/>
        <name val="Arial Narrow"/>
        <scheme val="none"/>
      </font>
      <numFmt numFmtId="2" formatCode="0.00"/>
      <fill>
        <patternFill patternType="solid">
          <bgColor theme="0"/>
        </patternFill>
      </fill>
      <alignment horizontal="center" vertical="center" readingOrder="0"/>
    </dxf>
  </rfmt>
  <rcc rId="10983" sId="39" odxf="1" dxf="1">
    <nc r="D15" t="inlineStr">
      <is>
        <t>219,52р.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84" sId="39" odxf="1" dxf="1">
    <nc r="E15" t="inlineStr">
      <is>
        <t>224,24р.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85" sId="39" odxf="1" dxf="1">
    <nc r="F15" t="inlineStr">
      <is>
        <t>236,05р.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16" start="0" length="0">
    <dxf>
      <font>
        <sz val="11"/>
        <color auto="1"/>
        <name val="Arial Narrow"/>
        <scheme val="none"/>
      </font>
      <numFmt numFmtId="13" formatCode="0%"/>
      <alignment vertical="center" readingOrder="0"/>
    </dxf>
  </rfmt>
  <rfmt sheetId="39" sqref="B16" start="0" length="0">
    <dxf>
      <font>
        <sz val="11"/>
        <color auto="1"/>
        <name val="Arial Narrow"/>
        <scheme val="none"/>
      </font>
      <numFmt numFmtId="13" formatCode="0%"/>
      <alignment vertical="center" readingOrder="0"/>
    </dxf>
  </rfmt>
  <rfmt sheetId="39" sqref="C16" start="0" length="0">
    <dxf>
      <font>
        <sz val="11"/>
        <color auto="1"/>
        <name val="Arial Narrow"/>
        <scheme val="none"/>
      </font>
      <numFmt numFmtId="13" formatCode="0%"/>
      <alignment vertical="center" readingOrder="0"/>
    </dxf>
  </rfmt>
  <rfmt sheetId="39" sqref="D16" start="0" length="0">
    <dxf>
      <font>
        <sz val="11"/>
        <color auto="1"/>
        <name val="Arial Narrow"/>
        <scheme val="none"/>
      </font>
      <numFmt numFmtId="13" formatCode="0%"/>
      <fill>
        <patternFill patternType="solid">
          <bgColor theme="9" tint="0.79998168889431442"/>
        </patternFill>
      </fill>
      <alignment vertical="center" readingOrder="0"/>
    </dxf>
  </rfmt>
  <rfmt sheetId="39" sqref="E16" start="0" length="0">
    <dxf>
      <font>
        <sz val="11"/>
        <color auto="1"/>
        <name val="Arial Narrow"/>
        <scheme val="none"/>
      </font>
      <numFmt numFmtId="13" formatCode="0%"/>
      <fill>
        <patternFill patternType="solid">
          <bgColor theme="9" tint="0.79998168889431442"/>
        </patternFill>
      </fill>
      <alignment vertical="center" readingOrder="0"/>
    </dxf>
  </rfmt>
  <rfmt sheetId="39" sqref="F16" start="0" length="0">
    <dxf>
      <font>
        <sz val="11"/>
        <color auto="1"/>
        <name val="Arial Narrow"/>
        <scheme val="none"/>
      </font>
      <numFmt numFmtId="13" formatCode="0%"/>
      <fill>
        <patternFill patternType="solid">
          <bgColor theme="9" tint="0.79998168889431442"/>
        </patternFill>
      </fill>
      <alignment vertical="center" readingOrder="0"/>
    </dxf>
  </rfmt>
  <rfmt sheetId="39" sqref="A17" start="0" length="0">
    <dxf>
      <font>
        <sz val="11"/>
        <color auto="1"/>
        <name val="Arial Narrow"/>
        <scheme val="none"/>
      </font>
      <fill>
        <patternFill patternType="solid">
          <bgColor theme="0"/>
        </patternFill>
      </fill>
      <alignment vertical="center" readingOrder="0"/>
    </dxf>
  </rfmt>
  <rfmt sheetId="39" sqref="B17" start="0" length="0">
    <dxf>
      <font>
        <sz val="11"/>
        <color theme="1"/>
        <name val="Arial Narrow"/>
        <scheme val="none"/>
      </font>
      <fill>
        <patternFill patternType="solid">
          <bgColor theme="0"/>
        </patternFill>
      </fill>
      <alignment vertical="center" readingOrder="0"/>
    </dxf>
  </rfmt>
  <rfmt sheetId="39" sqref="C17" start="0" length="0">
    <dxf>
      <font>
        <sz val="11"/>
        <color auto="1"/>
        <name val="Arial Narrow"/>
        <scheme val="none"/>
      </font>
      <numFmt numFmtId="2" formatCode="0.00"/>
      <fill>
        <patternFill patternType="solid">
          <bgColor theme="0"/>
        </patternFill>
      </fill>
      <alignment horizontal="center" vertical="center" readingOrder="0"/>
    </dxf>
  </rfmt>
  <rfmt sheetId="39" sqref="D17" start="0" length="0">
    <dxf>
      <font>
        <sz val="11"/>
        <color auto="1"/>
        <name val="Arial Narrow"/>
        <scheme val="none"/>
      </font>
      <numFmt numFmtId="13" formatCode="0%"/>
      <alignment vertical="center" readingOrder="0"/>
    </dxf>
  </rfmt>
  <rfmt sheetId="39" sqref="E17" start="0" length="0">
    <dxf>
      <font>
        <sz val="11"/>
        <color auto="1"/>
        <name val="Arial Narrow"/>
        <scheme val="none"/>
      </font>
      <numFmt numFmtId="13" formatCode="0%"/>
      <alignment vertical="center" readingOrder="0"/>
    </dxf>
  </rfmt>
  <rfmt sheetId="39" sqref="F17" start="0" length="0">
    <dxf>
      <font>
        <sz val="11"/>
        <color auto="1"/>
        <name val="Arial Narrow"/>
        <scheme val="none"/>
      </font>
      <numFmt numFmtId="13" formatCode="0%"/>
      <alignment vertical="center" readingOrder="0"/>
    </dxf>
  </rfmt>
  <rcc rId="10986" sId="39" odxf="1" dxf="1">
    <nc r="A18" t="inlineStr">
      <is>
        <t xml:space="preserve"> Софиты</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0987" sId="39" odxf="1" dxf="1">
    <nc r="B18"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18" start="0" length="0">
    <dxf>
      <font>
        <b/>
        <sz val="11"/>
        <color auto="1"/>
        <name val="Arial Narrow"/>
        <scheme val="none"/>
      </font>
      <numFmt numFmtId="2" formatCode="0.00"/>
      <fill>
        <patternFill patternType="solid">
          <bgColor theme="0"/>
        </patternFill>
      </fill>
      <alignment horizontal="center" vertical="center" readingOrder="0"/>
    </dxf>
  </rfmt>
  <rfmt sheetId="39" sqref="D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0988" sId="39" odxf="1" dxf="1">
    <nc r="A19" t="inlineStr">
      <is>
        <t>Софит сплошной/ перфорированный/ c центральной перфорацией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89" sId="39" odxf="1" dxf="1">
    <nc r="B19">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9" start="0" length="0">
    <dxf>
      <font>
        <sz val="6"/>
        <color rgb="FFFF0000"/>
        <name val="Arial Narrow"/>
        <scheme val="none"/>
      </font>
      <numFmt numFmtId="2" formatCode="0.00"/>
      <fill>
        <patternFill patternType="solid">
          <bgColor theme="0"/>
        </patternFill>
      </fill>
      <alignment horizontal="center" vertical="center" readingOrder="0"/>
    </dxf>
  </rfmt>
  <rcc rId="10990" sId="39" odxf="1" dxf="1">
    <nc r="D19" t="inlineStr">
      <is>
        <t>293,32р.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1" sId="39" odxf="1" dxf="1">
    <nc r="E19" t="inlineStr">
      <is>
        <t>369,66р.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2" sId="39" odxf="1" dxf="1">
    <nc r="F19" t="inlineStr">
      <is>
        <t>401,80р.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93" sId="39" odxf="1" dxf="1">
    <nc r="A20" t="inlineStr">
      <is>
        <t>Софит сплошной/ перфорированный/ c центральной перфорацией (Шоколад, Гранат, Каштан,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94" sId="39" odxf="1" dxf="1">
    <nc r="B20">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20" start="0" length="0">
    <dxf>
      <font>
        <sz val="6"/>
        <color rgb="FFFF0000"/>
        <name val="Arial Narrow"/>
        <scheme val="none"/>
      </font>
      <numFmt numFmtId="2" formatCode="0.00"/>
      <fill>
        <patternFill patternType="solid">
          <bgColor theme="0"/>
        </patternFill>
      </fill>
      <alignment horizontal="center" vertical="center" readingOrder="0"/>
    </dxf>
  </rfmt>
  <rcc rId="10995" sId="39" odxf="1" dxf="1">
    <nc r="D20" t="inlineStr">
      <is>
        <t>385,66р.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6" sId="39" odxf="1" dxf="1">
    <nc r="E20" t="inlineStr">
      <is>
        <t>486,03р.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7" sId="39" odxf="1" dxf="1">
    <nc r="F20" t="inlineStr">
      <is>
        <t>528,30р.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21" start="0" length="0">
    <dxf>
      <font>
        <sz val="11"/>
        <color auto="1"/>
        <name val="Arial Narrow"/>
        <scheme val="none"/>
      </font>
      <numFmt numFmtId="13" formatCode="0%"/>
      <alignment vertical="center" readingOrder="0"/>
    </dxf>
  </rfmt>
  <rfmt sheetId="39" sqref="B21" start="0" length="0">
    <dxf>
      <font>
        <sz val="11"/>
        <color auto="1"/>
        <name val="Arial Narrow"/>
        <scheme val="none"/>
      </font>
      <numFmt numFmtId="13" formatCode="0%"/>
      <alignment vertical="center" readingOrder="0"/>
    </dxf>
  </rfmt>
  <rfmt sheetId="39" sqref="C21" start="0" length="0">
    <dxf>
      <font>
        <sz val="11"/>
        <color auto="1"/>
        <name val="Arial Narrow"/>
        <scheme val="none"/>
      </font>
      <numFmt numFmtId="13" formatCode="0%"/>
      <alignment vertical="center" readingOrder="0"/>
    </dxf>
  </rfmt>
  <rfmt sheetId="39" sqref="D21" start="0" length="0">
    <dxf>
      <font>
        <sz val="11"/>
        <color auto="1"/>
        <name val="Arial Narrow"/>
        <scheme val="none"/>
      </font>
      <numFmt numFmtId="13" formatCode="0%"/>
      <fill>
        <patternFill patternType="solid">
          <bgColor theme="9" tint="0.79998168889431442"/>
        </patternFill>
      </fill>
      <alignment vertical="center" readingOrder="0"/>
    </dxf>
  </rfmt>
  <rfmt sheetId="39" sqref="E21" start="0" length="0">
    <dxf>
      <font>
        <sz val="11"/>
        <color auto="1"/>
        <name val="Arial Narrow"/>
        <scheme val="none"/>
      </font>
      <numFmt numFmtId="13" formatCode="0%"/>
      <fill>
        <patternFill patternType="solid">
          <bgColor theme="9" tint="0.79998168889431442"/>
        </patternFill>
      </fill>
      <alignment vertical="center" readingOrder="0"/>
    </dxf>
  </rfmt>
  <rfmt sheetId="39" sqref="F21" start="0" length="0">
    <dxf>
      <font>
        <sz val="11"/>
        <color auto="1"/>
        <name val="Arial Narrow"/>
        <scheme val="none"/>
      </font>
      <numFmt numFmtId="13" formatCode="0%"/>
      <fill>
        <patternFill patternType="solid">
          <bgColor theme="9" tint="0.79998168889431442"/>
        </patternFill>
      </fill>
      <alignment vertical="center" readingOrder="0"/>
    </dxf>
  </rfmt>
  <rfmt sheetId="39" sqref="A22" start="0" length="0">
    <dxf>
      <font>
        <sz val="11"/>
        <color auto="1"/>
        <name val="Arial Narrow"/>
        <scheme val="none"/>
      </font>
      <numFmt numFmtId="13" formatCode="0%"/>
      <alignment vertical="center" readingOrder="0"/>
    </dxf>
  </rfmt>
  <rfmt sheetId="39" sqref="B22" start="0" length="0">
    <dxf>
      <font>
        <sz val="11"/>
        <color auto="1"/>
        <name val="Arial Narrow"/>
        <scheme val="none"/>
      </font>
      <numFmt numFmtId="13" formatCode="0%"/>
      <alignment vertical="center" readingOrder="0"/>
    </dxf>
  </rfmt>
  <rfmt sheetId="39" sqref="C22" start="0" length="0">
    <dxf>
      <font>
        <sz val="11"/>
        <color auto="1"/>
        <name val="Arial Narrow"/>
        <scheme val="none"/>
      </font>
      <numFmt numFmtId="13" formatCode="0%"/>
      <alignment vertical="center" readingOrder="0"/>
    </dxf>
  </rfmt>
  <rfmt sheetId="39" sqref="D22" start="0" length="0">
    <dxf>
      <font>
        <sz val="11"/>
        <color auto="1"/>
        <name val="Arial Narrow"/>
        <scheme val="none"/>
      </font>
      <numFmt numFmtId="13" formatCode="0%"/>
      <alignment vertical="center" readingOrder="0"/>
    </dxf>
  </rfmt>
  <rfmt sheetId="39" sqref="E22" start="0" length="0">
    <dxf>
      <font>
        <sz val="11"/>
        <color auto="1"/>
        <name val="Arial Narrow"/>
        <scheme val="none"/>
      </font>
      <numFmt numFmtId="13" formatCode="0%"/>
      <alignment vertical="center" readingOrder="0"/>
    </dxf>
  </rfmt>
  <rfmt sheetId="39" sqref="F22" start="0" length="0">
    <dxf>
      <font>
        <sz val="11"/>
        <color auto="1"/>
        <name val="Arial Narrow"/>
        <scheme val="none"/>
      </font>
      <numFmt numFmtId="13" formatCode="0%"/>
      <alignment vertical="center" readingOrder="0"/>
    </dxf>
  </rfmt>
  <rcc rId="10998" sId="39" odxf="1" dxf="1">
    <nc r="A23" t="inlineStr">
      <is>
        <t>Серия Döcke STANDARD</t>
      </is>
    </nc>
    <odxf>
      <font>
        <b val="0"/>
        <sz val="11"/>
        <color theme="1"/>
        <name val="Calibri"/>
        <scheme val="minor"/>
      </font>
      <fill>
        <patternFill patternType="none">
          <bgColor indexed="65"/>
        </patternFill>
      </fill>
      <alignment vertical="bottom" readingOrder="0"/>
      <border outline="0">
        <left/>
        <top/>
        <bottom/>
      </border>
    </odxf>
    <ndxf>
      <font>
        <b/>
        <sz val="16"/>
        <color theme="1"/>
        <name val="Arial Narrow"/>
        <scheme val="none"/>
      </font>
      <fill>
        <patternFill patternType="solid">
          <bgColor rgb="FF92D050"/>
        </patternFill>
      </fill>
      <alignment vertical="center" readingOrder="0"/>
      <border outline="0">
        <left style="thin">
          <color indexed="64"/>
        </left>
        <top style="thin">
          <color indexed="64"/>
        </top>
        <bottom style="thin">
          <color indexed="64"/>
        </bottom>
      </border>
    </ndxf>
  </rcc>
  <rfmt sheetId="39" sqref="B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C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D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E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F23" start="0" length="0">
    <dxf>
      <font>
        <sz val="11"/>
        <color theme="1"/>
        <name val="Arial Narrow"/>
        <scheme val="none"/>
      </font>
      <fill>
        <patternFill patternType="solid">
          <bgColor rgb="FF92D050"/>
        </patternFill>
      </fill>
      <alignment vertical="center" readingOrder="0"/>
      <border outline="0">
        <right style="thin">
          <color indexed="64"/>
        </right>
        <top style="thin">
          <color indexed="64"/>
        </top>
        <bottom style="thin">
          <color indexed="64"/>
        </bottom>
      </border>
    </dxf>
  </rfmt>
  <rcc rId="10999" sId="39" odxf="1" dxf="1">
    <nc r="A24" t="inlineStr">
      <is>
        <t xml:space="preserve">Сайдинг </t>
      </is>
    </nc>
    <odxf>
      <font>
        <b val="0"/>
        <sz val="11"/>
        <color theme="1"/>
        <name val="Calibri"/>
        <scheme val="minor"/>
      </font>
      <fill>
        <patternFill patternType="none">
          <bgColor indexed="65"/>
        </patternFill>
      </fill>
      <alignment vertical="bottom" readingOrder="0"/>
      <border outline="0">
        <left/>
        <right/>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bottom style="double">
          <color indexed="64"/>
        </bottom>
      </border>
    </ndxf>
  </rcc>
  <rcc rId="11000" sId="39" odxf="1" dxf="1">
    <nc r="B24" t="inlineStr">
      <is>
        <t>шт</t>
      </is>
    </nc>
    <odxf>
      <font>
        <b val="0"/>
        <sz val="11"/>
        <color theme="1"/>
        <name val="Calibri"/>
        <scheme val="minor"/>
      </font>
      <fill>
        <patternFill patternType="none">
          <bgColor indexed="65"/>
        </patternFill>
      </fill>
      <alignment horizontal="general" vertical="bottom" readingOrder="0"/>
      <border outline="0">
        <left/>
        <right/>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bottom style="double">
          <color indexed="64"/>
        </bottom>
      </border>
    </ndxf>
  </rcc>
  <rfmt sheetId="39" sqref="C24" start="0" length="0">
    <dxf>
      <font>
        <sz val="11"/>
        <color auto="1"/>
        <name val="Arial Narrow"/>
        <scheme val="none"/>
      </font>
      <fill>
        <patternFill patternType="solid">
          <bgColor theme="0"/>
        </patternFill>
      </fill>
      <alignment vertical="center" readingOrder="0"/>
    </dxf>
  </rfmt>
  <rfmt sheetId="39" sqref="D24"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bottom style="double">
          <color indexed="64"/>
        </bottom>
      </border>
    </dxf>
  </rfmt>
  <rfmt sheetId="39" sqref="E24"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bottom style="double">
          <color indexed="64"/>
        </bottom>
      </border>
    </dxf>
  </rfmt>
  <rfmt sheetId="39" sqref="F24"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bottom style="double">
          <color indexed="64"/>
        </bottom>
      </border>
    </dxf>
  </rfmt>
  <rcc rId="11001" sId="39" odxf="1" dxf="1">
    <nc r="A25" t="inlineStr">
      <is>
        <t>Сайдинг D4D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002" sId="39" odxf="1" dxf="1">
    <nc r="B25">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25" start="0" length="0">
    <dxf>
      <font>
        <sz val="11"/>
        <color auto="1"/>
        <name val="Arial Narrow"/>
        <scheme val="none"/>
      </font>
      <fill>
        <patternFill patternType="solid">
          <bgColor theme="0"/>
        </patternFill>
      </fill>
      <alignment vertical="center" readingOrder="0"/>
    </dxf>
  </rfmt>
  <rcc rId="11003" sId="39" odxf="1" dxf="1">
    <nc r="D25" t="inlineStr">
      <is>
        <t>120,94р.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04" sId="39" odxf="1" dxf="1">
    <nc r="E25" t="inlineStr">
      <is>
        <t>123,55р.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05" sId="39" odxf="1" dxf="1">
    <nc r="F25" t="inlineStr">
      <is>
        <t>130,05р.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06" sId="39" odxf="1" dxf="1">
    <nc r="A26" t="inlineStr">
      <is>
        <t>Сайдинг D5C (все цвета)</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1007" sId="39" odxf="1" dxf="1">
    <nc r="B2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26" start="0" length="0">
    <dxf>
      <font>
        <sz val="11"/>
        <color auto="1"/>
        <name val="Arial Narrow"/>
        <scheme val="none"/>
      </font>
      <fill>
        <patternFill patternType="solid">
          <bgColor theme="0"/>
        </patternFill>
      </fill>
      <alignment vertical="center" readingOrder="0"/>
    </dxf>
  </rfmt>
  <rcc rId="11008" sId="39" odxf="1" dxf="1">
    <nc r="D26" t="inlineStr">
      <is>
        <t>154,65р.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09" sId="39" odxf="1" dxf="1">
    <nc r="E26" t="inlineStr">
      <is>
        <t>157,97р.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10" sId="39" odxf="1" dxf="1">
    <nc r="F26" t="inlineStr">
      <is>
        <t>166,29р.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27" start="0" length="0">
    <dxf>
      <font>
        <sz val="11"/>
        <color auto="1"/>
        <name val="Arial Narrow"/>
        <scheme val="none"/>
      </font>
      <numFmt numFmtId="13" formatCode="0%"/>
      <alignment vertical="center" readingOrder="0"/>
    </dxf>
  </rfmt>
  <rfmt sheetId="39" sqref="B27" start="0" length="0">
    <dxf>
      <font>
        <sz val="11"/>
        <color auto="1"/>
        <name val="Arial Narrow"/>
        <scheme val="none"/>
      </font>
      <numFmt numFmtId="13" formatCode="0%"/>
      <alignment vertical="center" readingOrder="0"/>
    </dxf>
  </rfmt>
  <rfmt sheetId="39" sqref="C27" start="0" length="0">
    <dxf>
      <font>
        <sz val="11"/>
        <color auto="1"/>
        <name val="Arial Narrow"/>
        <scheme val="none"/>
      </font>
      <numFmt numFmtId="13" formatCode="0%"/>
      <alignment vertical="center" readingOrder="0"/>
    </dxf>
  </rfmt>
  <rfmt sheetId="39" sqref="D27" start="0" length="0">
    <dxf>
      <font>
        <sz val="11"/>
        <color auto="1"/>
        <name val="Arial Narrow"/>
        <scheme val="none"/>
      </font>
      <numFmt numFmtId="13" formatCode="0%"/>
      <fill>
        <patternFill patternType="solid">
          <bgColor theme="9" tint="0.79998168889431442"/>
        </patternFill>
      </fill>
      <alignment vertical="center" readingOrder="0"/>
    </dxf>
  </rfmt>
  <rfmt sheetId="39" sqref="E27" start="0" length="0">
    <dxf>
      <font>
        <sz val="11"/>
        <color auto="1"/>
        <name val="Arial Narrow"/>
        <scheme val="none"/>
      </font>
      <numFmt numFmtId="13" formatCode="0%"/>
      <fill>
        <patternFill patternType="solid">
          <bgColor theme="9" tint="0.79998168889431442"/>
        </patternFill>
      </fill>
      <alignment vertical="center" readingOrder="0"/>
    </dxf>
  </rfmt>
  <rfmt sheetId="39" sqref="F27" start="0" length="0">
    <dxf>
      <font>
        <sz val="11"/>
        <color auto="1"/>
        <name val="Arial Narrow"/>
        <scheme val="none"/>
      </font>
      <numFmt numFmtId="13" formatCode="0%"/>
      <fill>
        <patternFill patternType="solid">
          <bgColor theme="9" tint="0.79998168889431442"/>
        </patternFill>
      </fill>
      <alignment vertical="center" readingOrder="0"/>
    </dxf>
  </rfmt>
  <rfmt sheetId="39" sqref="A28" start="0" length="0">
    <dxf>
      <font>
        <sz val="11"/>
        <color theme="1"/>
        <name val="Arial Narrow"/>
        <scheme val="none"/>
      </font>
      <fill>
        <patternFill patternType="solid">
          <bgColor theme="0"/>
        </patternFill>
      </fill>
      <alignment vertical="center" readingOrder="0"/>
    </dxf>
  </rfmt>
  <rfmt sheetId="39" sqref="B28" start="0" length="0">
    <dxf>
      <font>
        <sz val="11"/>
        <color theme="1"/>
        <name val="Arial Narrow"/>
        <scheme val="none"/>
      </font>
      <fill>
        <patternFill patternType="solid">
          <bgColor theme="0"/>
        </patternFill>
      </fill>
      <alignment vertical="center" readingOrder="0"/>
    </dxf>
  </rfmt>
  <rfmt sheetId="39" sqref="C28" start="0" length="0">
    <dxf>
      <font>
        <sz val="11"/>
        <color auto="1"/>
        <name val="Arial Narrow"/>
        <scheme val="none"/>
      </font>
      <fill>
        <patternFill patternType="solid">
          <bgColor theme="0"/>
        </patternFill>
      </fill>
      <alignment vertical="center" readingOrder="0"/>
    </dxf>
  </rfmt>
  <rfmt sheetId="39" sqref="D28" start="0" length="0">
    <dxf>
      <font>
        <sz val="11"/>
        <color auto="1"/>
        <name val="Arial Narrow"/>
        <scheme val="none"/>
      </font>
      <numFmt numFmtId="13" formatCode="0%"/>
      <alignment vertical="center" readingOrder="0"/>
    </dxf>
  </rfmt>
  <rfmt sheetId="39" sqref="E28" start="0" length="0">
    <dxf>
      <font>
        <sz val="11"/>
        <color auto="1"/>
        <name val="Arial Narrow"/>
        <scheme val="none"/>
      </font>
      <numFmt numFmtId="13" formatCode="0%"/>
      <alignment vertical="center" readingOrder="0"/>
    </dxf>
  </rfmt>
  <rfmt sheetId="39" sqref="F28" start="0" length="0">
    <dxf>
      <font>
        <sz val="11"/>
        <color auto="1"/>
        <name val="Arial Narrow"/>
        <scheme val="none"/>
      </font>
      <numFmt numFmtId="13" formatCode="0%"/>
      <alignment vertical="center" readingOrder="0"/>
    </dxf>
  </rfmt>
  <rcc rId="11011" sId="39" odxf="1" dxf="1">
    <nc r="A29" t="inlineStr">
      <is>
        <t>Софиты</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1012" sId="39" odxf="1" dxf="1">
    <nc r="B29">
      <f>B24</f>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29" start="0" length="0">
    <dxf>
      <font>
        <b/>
        <sz val="11"/>
        <color auto="1"/>
        <name val="Arial Narrow"/>
        <scheme val="none"/>
      </font>
      <numFmt numFmtId="2" formatCode="0.00"/>
      <fill>
        <patternFill patternType="solid">
          <bgColor theme="0"/>
        </patternFill>
      </fill>
      <alignment horizontal="center" vertical="center" readingOrder="0"/>
    </dxf>
  </rfmt>
  <rfmt sheetId="39" sqref="D2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2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2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013" sId="39" odxf="1" dxf="1">
    <nc r="A30" t="inlineStr">
      <is>
        <t>Софит сплошной/ перфорированный/ c центральной перфорацией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014" sId="39" odxf="1" dxf="1">
    <nc r="B30">
      <v>16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0" start="0" length="0">
    <dxf>
      <font>
        <sz val="11"/>
        <color auto="1"/>
        <name val="Arial Narrow"/>
        <scheme val="none"/>
      </font>
      <fill>
        <patternFill patternType="solid">
          <bgColor theme="0"/>
        </patternFill>
      </fill>
      <alignment vertical="center" readingOrder="0"/>
    </dxf>
  </rfmt>
  <rcc rId="11015" sId="39" odxf="1" dxf="1">
    <nc r="D30" t="inlineStr">
      <is>
        <t>242,22р.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16" sId="39" odxf="1" dxf="1">
    <nc r="E30" t="inlineStr">
      <is>
        <t>306,14р.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17" sId="39" odxf="1" dxf="1">
    <nc r="F30" t="inlineStr">
      <is>
        <t>336,42р.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18" sId="39" odxf="1" dxf="1">
    <nc r="A31" t="inlineStr">
      <is>
        <t>Софит сплошной/ перфорированный/ c центральной перфорацией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019" sId="39" odxf="1" dxf="1">
    <nc r="B31">
      <v>16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1" start="0" length="0">
    <dxf>
      <font>
        <sz val="11"/>
        <color auto="1"/>
        <name val="Arial Narrow"/>
        <scheme val="none"/>
      </font>
      <fill>
        <patternFill patternType="solid">
          <bgColor theme="0"/>
        </patternFill>
      </fill>
      <alignment vertical="center" readingOrder="0"/>
    </dxf>
  </rfmt>
  <rcc rId="11020" sId="39" odxf="1" dxf="1">
    <nc r="D31" t="inlineStr">
      <is>
        <t>300,26р.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21" sId="39" odxf="1" dxf="1">
    <nc r="E31" t="inlineStr">
      <is>
        <t>379,50р.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22" sId="39" odxf="1" dxf="1">
    <nc r="F31" t="inlineStr">
      <is>
        <t>417,03р.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32" start="0" length="0">
    <dxf>
      <font>
        <sz val="11"/>
        <color auto="1"/>
        <name val="Arial Narrow"/>
        <scheme val="none"/>
      </font>
      <numFmt numFmtId="13" formatCode="0%"/>
      <alignment vertical="center" readingOrder="0"/>
    </dxf>
  </rfmt>
  <rfmt sheetId="39" sqref="B32" start="0" length="0">
    <dxf>
      <font>
        <sz val="11"/>
        <color auto="1"/>
        <name val="Arial Narrow"/>
        <scheme val="none"/>
      </font>
      <numFmt numFmtId="13" formatCode="0%"/>
      <alignment vertical="center" readingOrder="0"/>
    </dxf>
  </rfmt>
  <rfmt sheetId="39" sqref="C32" start="0" length="0">
    <dxf>
      <font>
        <sz val="11"/>
        <color auto="1"/>
        <name val="Arial Narrow"/>
        <scheme val="none"/>
      </font>
      <numFmt numFmtId="13" formatCode="0%"/>
      <alignment vertical="center" readingOrder="0"/>
    </dxf>
  </rfmt>
  <rfmt sheetId="39" sqref="D32" start="0" length="0">
    <dxf>
      <font>
        <sz val="11"/>
        <color auto="1"/>
        <name val="Arial Narrow"/>
        <scheme val="none"/>
      </font>
      <numFmt numFmtId="13" formatCode="0%"/>
      <fill>
        <patternFill patternType="solid">
          <bgColor theme="9" tint="0.79998168889431442"/>
        </patternFill>
      </fill>
      <alignment vertical="center" readingOrder="0"/>
    </dxf>
  </rfmt>
  <rfmt sheetId="39" sqref="E32" start="0" length="0">
    <dxf>
      <font>
        <sz val="11"/>
        <color auto="1"/>
        <name val="Arial Narrow"/>
        <scheme val="none"/>
      </font>
      <numFmt numFmtId="13" formatCode="0%"/>
      <fill>
        <patternFill patternType="solid">
          <bgColor theme="9" tint="0.79998168889431442"/>
        </patternFill>
      </fill>
      <alignment vertical="center" readingOrder="0"/>
    </dxf>
  </rfmt>
  <rfmt sheetId="39" sqref="F32" start="0" length="0">
    <dxf>
      <font>
        <sz val="11"/>
        <color auto="1"/>
        <name val="Arial Narrow"/>
        <scheme val="none"/>
      </font>
      <numFmt numFmtId="13" formatCode="0%"/>
      <fill>
        <patternFill patternType="solid">
          <bgColor theme="9" tint="0.79998168889431442"/>
        </patternFill>
      </fill>
      <alignment vertical="center" readingOrder="0"/>
    </dxf>
  </rfmt>
  <rfmt sheetId="39" sqref="A33" start="0" length="0">
    <dxf>
      <font>
        <sz val="11"/>
        <color theme="1"/>
        <name val="Arial Narrow"/>
        <scheme val="none"/>
      </font>
      <fill>
        <patternFill patternType="solid">
          <bgColor theme="0"/>
        </patternFill>
      </fill>
      <alignment vertical="center" readingOrder="0"/>
    </dxf>
  </rfmt>
  <rfmt sheetId="39" sqref="B33" start="0" length="0">
    <dxf>
      <font>
        <sz val="11"/>
        <color theme="1"/>
        <name val="Arial Narrow"/>
        <scheme val="none"/>
      </font>
      <fill>
        <patternFill patternType="solid">
          <bgColor theme="0"/>
        </patternFill>
      </fill>
      <alignment vertical="center" readingOrder="0"/>
    </dxf>
  </rfmt>
  <rfmt sheetId="39" sqref="C33" start="0" length="0">
    <dxf>
      <font>
        <sz val="11"/>
        <color auto="1"/>
        <name val="Arial Narrow"/>
        <scheme val="none"/>
      </font>
      <fill>
        <patternFill patternType="solid">
          <bgColor theme="0"/>
        </patternFill>
      </fill>
      <alignment vertical="center" readingOrder="0"/>
    </dxf>
  </rfmt>
  <rfmt sheetId="39" sqref="D33" start="0" length="0">
    <dxf>
      <font>
        <sz val="11"/>
        <color auto="1"/>
        <name val="Arial Narrow"/>
        <scheme val="none"/>
      </font>
      <numFmt numFmtId="13" formatCode="0%"/>
      <alignment vertical="center" readingOrder="0"/>
    </dxf>
  </rfmt>
  <rfmt sheetId="39" sqref="E33" start="0" length="0">
    <dxf>
      <font>
        <sz val="11"/>
        <color auto="1"/>
        <name val="Arial Narrow"/>
        <scheme val="none"/>
      </font>
      <numFmt numFmtId="13" formatCode="0%"/>
      <alignment vertical="center" readingOrder="0"/>
    </dxf>
  </rfmt>
  <rfmt sheetId="39" sqref="F33" start="0" length="0">
    <dxf>
      <font>
        <sz val="11"/>
        <color auto="1"/>
        <name val="Arial Narrow"/>
        <scheme val="none"/>
      </font>
      <numFmt numFmtId="13" formatCode="0%"/>
      <alignment vertical="center" readingOrder="0"/>
    </dxf>
  </rfmt>
  <rcc rId="11023" sId="39" odxf="1" dxf="1">
    <nc r="A34" t="inlineStr">
      <is>
        <t>Универсальные аксессуары</t>
      </is>
    </nc>
    <odxf>
      <font>
        <b val="0"/>
        <sz val="11"/>
        <color theme="1"/>
        <name val="Calibri"/>
        <scheme val="minor"/>
      </font>
      <fill>
        <patternFill patternType="none">
          <bgColor indexed="65"/>
        </patternFill>
      </fill>
      <alignment vertical="bottom" readingOrder="0"/>
      <border outline="0">
        <left/>
        <top/>
        <bottom/>
      </border>
    </odxf>
    <ndxf>
      <font>
        <b/>
        <sz val="16"/>
        <color theme="1"/>
        <name val="Arial Narrow"/>
        <scheme val="none"/>
      </font>
      <fill>
        <patternFill patternType="solid">
          <bgColor rgb="FF92D050"/>
        </patternFill>
      </fill>
      <alignment vertical="center" readingOrder="0"/>
      <border outline="0">
        <left style="thin">
          <color indexed="64"/>
        </left>
        <top style="thin">
          <color indexed="64"/>
        </top>
        <bottom style="thin">
          <color indexed="64"/>
        </bottom>
      </border>
    </ndxf>
  </rcc>
  <rfmt sheetId="39" sqref="B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C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D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E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F34" start="0" length="0">
    <dxf>
      <font>
        <sz val="11"/>
        <color theme="1"/>
        <name val="Arial Narrow"/>
        <scheme val="none"/>
      </font>
      <fill>
        <patternFill patternType="solid">
          <bgColor rgb="FF92D050"/>
        </patternFill>
      </fill>
      <alignment vertical="center" readingOrder="0"/>
      <border outline="0">
        <right style="thin">
          <color indexed="64"/>
        </right>
        <top style="thin">
          <color indexed="64"/>
        </top>
        <bottom style="thin">
          <color indexed="64"/>
        </bottom>
      </border>
    </dxf>
  </rfmt>
  <rcc rId="11024" sId="39" odxf="1" dxf="1">
    <nc r="A35" t="inlineStr">
      <is>
        <t>Аксессуары Döcke, цвет Пломбир</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1025" sId="39" odxf="1" dxf="1">
    <nc r="B35"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35" start="0" length="0">
    <dxf>
      <font>
        <sz val="11"/>
        <color auto="1"/>
        <name val="Arial Narrow"/>
        <scheme val="none"/>
      </font>
      <fill>
        <patternFill patternType="solid">
          <bgColor theme="0"/>
        </patternFill>
      </fill>
      <alignment vertical="center" readingOrder="0"/>
    </dxf>
  </rfmt>
  <rfmt sheetId="39" sqref="D3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3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3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026" sId="39" odxf="1" dxf="1">
    <nc r="A36" t="inlineStr">
      <is>
        <t xml:space="preserve">Финишный профиль  </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11027" sId="39" odxf="1" dxf="1">
    <nc r="B36">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36" start="0" length="0">
    <dxf>
      <font>
        <sz val="6"/>
        <color rgb="FFFF0000"/>
        <name val="Arial Narrow"/>
        <scheme val="none"/>
      </font>
      <numFmt numFmtId="2" formatCode="0.00"/>
      <fill>
        <patternFill patternType="solid">
          <bgColor theme="0"/>
        </patternFill>
      </fill>
      <alignment horizontal="center" vertical="center" readingOrder="0"/>
    </dxf>
  </rfmt>
  <rcc rId="11028" sId="39" odxf="1" dxf="1">
    <nc r="D36" t="inlineStr">
      <is>
        <t>124,82р.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29" sId="39" odxf="1" dxf="1">
    <nc r="E36" t="inlineStr">
      <is>
        <t>158,11р.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0" sId="39" odxf="1" dxf="1">
    <nc r="F36" t="inlineStr">
      <is>
        <t>166,43р.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31" sId="39" odxf="1" dxf="1">
    <nc r="A37" t="inlineStr">
      <is>
        <t>Н-профиль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32" sId="39" odxf="1" dxf="1">
    <nc r="B37">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7" start="0" length="0">
    <dxf>
      <font>
        <sz val="6"/>
        <color rgb="FFFF0000"/>
        <name val="Arial Narrow"/>
        <scheme val="none"/>
      </font>
      <numFmt numFmtId="2" formatCode="0.00"/>
      <fill>
        <patternFill patternType="solid">
          <bgColor theme="0"/>
        </patternFill>
      </fill>
      <alignment horizontal="center" vertical="center" readingOrder="0"/>
    </dxf>
  </rfmt>
  <rcc rId="11033" sId="39" odxf="1" dxf="1">
    <nc r="D37" t="inlineStr">
      <is>
        <t>308,49р.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4" sId="39" odxf="1" dxf="1">
    <nc r="E37" t="inlineStr">
      <is>
        <t>390,76р.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5" sId="39" odxf="1" dxf="1">
    <nc r="F37" t="inlineStr">
      <is>
        <t>411,32р.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36" sId="39" odxf="1" dxf="1">
    <nc r="A38" t="inlineStr">
      <is>
        <t xml:space="preserve">Стартовый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37" sId="39" odxf="1" dxf="1">
    <nc r="B38">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8" start="0" length="0">
    <dxf>
      <font>
        <sz val="6"/>
        <color rgb="FFFF0000"/>
        <name val="Arial Narrow"/>
        <scheme val="none"/>
      </font>
      <numFmt numFmtId="2" formatCode="0.00"/>
      <fill>
        <patternFill patternType="solid">
          <bgColor theme="0"/>
        </patternFill>
      </fill>
      <alignment horizontal="center" vertical="center" readingOrder="0"/>
    </dxf>
  </rfmt>
  <rcc rId="11038" sId="39" odxf="1" dxf="1">
    <nc r="D38" t="inlineStr">
      <is>
        <t>96,92р.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9" sId="39" odxf="1" dxf="1">
    <nc r="E38" t="inlineStr">
      <is>
        <t>122,77р.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0" sId="39" odxf="1" dxf="1">
    <nc r="F38" t="inlineStr">
      <is>
        <t>129,23р.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41" sId="39" odxf="1" dxf="1">
    <nc r="A39"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42" sId="39" odxf="1" dxf="1">
    <nc r="B39">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9" start="0" length="0">
    <dxf>
      <font>
        <sz val="6"/>
        <color rgb="FFFF0000"/>
        <name val="Arial Narrow"/>
        <scheme val="none"/>
      </font>
      <numFmt numFmtId="2" formatCode="0.00"/>
      <fill>
        <patternFill patternType="solid">
          <bgColor theme="0"/>
        </patternFill>
      </fill>
      <alignment horizontal="center" vertical="center" readingOrder="0"/>
    </dxf>
  </rfmt>
  <rcc rId="11043" sId="39" odxf="1" dxf="1">
    <nc r="D39" t="inlineStr">
      <is>
        <t>124,82р.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4" sId="39" odxf="1" dxf="1">
    <nc r="E39" t="inlineStr">
      <is>
        <t>158,11р.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5" sId="39" odxf="1" dxf="1">
    <nc r="F39" t="inlineStr">
      <is>
        <t>166,43р.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46" sId="39" odxf="1" dxf="1">
    <nc r="A40" t="inlineStr">
      <is>
        <t>Внутренний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47" sId="39" odxf="1" dxf="1">
    <nc r="B40">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0" start="0" length="0">
    <dxf>
      <font>
        <sz val="6"/>
        <color rgb="FFFF0000"/>
        <name val="Arial Narrow"/>
        <scheme val="none"/>
      </font>
      <numFmt numFmtId="2" formatCode="0.00"/>
      <fill>
        <patternFill patternType="solid">
          <bgColor theme="0"/>
        </patternFill>
      </fill>
      <alignment horizontal="center" vertical="center" readingOrder="0"/>
    </dxf>
  </rfmt>
  <rcc rId="11048" sId="39" odxf="1" dxf="1">
    <nc r="D40" t="inlineStr">
      <is>
        <t>290,83р.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9" sId="39" odxf="1" dxf="1">
    <nc r="E40" t="inlineStr">
      <is>
        <t>368,38р.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0" sId="39" odxf="1" dxf="1">
    <nc r="F40" t="inlineStr">
      <is>
        <t>387,77р.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51" sId="39" odxf="1" dxf="1">
    <nc r="A41" t="inlineStr">
      <is>
        <t xml:space="preserve">Окантовочный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52" sId="39" odxf="1" dxf="1">
    <nc r="B41">
      <v>38</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1" start="0" length="0">
    <dxf>
      <font>
        <sz val="6"/>
        <color rgb="FFFF0000"/>
        <name val="Arial Narrow"/>
        <scheme val="none"/>
      </font>
      <numFmt numFmtId="2" formatCode="0.00"/>
      <fill>
        <patternFill patternType="solid">
          <bgColor theme="0"/>
        </patternFill>
      </fill>
      <alignment horizontal="center" vertical="center" readingOrder="0"/>
    </dxf>
  </rfmt>
  <rcc rId="11053" sId="39" odxf="1" dxf="1">
    <nc r="D41" t="inlineStr">
      <is>
        <t>308,91р.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4" sId="39" odxf="1" dxf="1">
    <nc r="E41" t="inlineStr">
      <is>
        <t>391,28р.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5" sId="39" odxf="1" dxf="1">
    <nc r="F41" t="inlineStr">
      <is>
        <t>411,88р.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56" sId="39" odxf="1" dxf="1">
    <nc r="A42" t="inlineStr">
      <is>
        <t xml:space="preserve">Внешний угол  75мм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57" sId="39" odxf="1" dxf="1">
    <nc r="B42">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2" start="0" length="0">
    <dxf>
      <font>
        <sz val="6"/>
        <color rgb="FFFF0000"/>
        <name val="Arial Narrow"/>
        <scheme val="none"/>
      </font>
      <numFmt numFmtId="2" formatCode="0.00"/>
      <fill>
        <patternFill patternType="solid">
          <bgColor theme="0"/>
        </patternFill>
      </fill>
      <alignment horizontal="center" vertical="center" readingOrder="0"/>
    </dxf>
  </rfmt>
  <rcc rId="11058" sId="39" odxf="1" dxf="1">
    <nc r="D42" t="inlineStr">
      <is>
        <t>378,72р.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9" sId="39" odxf="1" dxf="1">
    <nc r="E42" t="inlineStr">
      <is>
        <t>479,72р.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0" sId="39" odxf="1" dxf="1">
    <nc r="F42" t="inlineStr">
      <is>
        <t>504,96р.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61" sId="39" odxf="1" dxf="1">
    <nc r="A43" t="inlineStr">
      <is>
        <t>Наличник 75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62" sId="39" odxf="1" dxf="1">
    <nc r="B4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3" start="0" length="0">
    <dxf>
      <font>
        <sz val="6"/>
        <color rgb="FFFF0000"/>
        <name val="Arial Narrow"/>
        <scheme val="none"/>
      </font>
      <numFmt numFmtId="2" formatCode="0.00"/>
      <fill>
        <patternFill patternType="solid">
          <bgColor theme="0"/>
        </patternFill>
      </fill>
      <alignment horizontal="center" vertical="center" readingOrder="0"/>
    </dxf>
  </rfmt>
  <rcc rId="11063" sId="39" odxf="1" dxf="1">
    <nc r="D43" t="inlineStr">
      <is>
        <t>379,94р.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4" sId="39" odxf="1" dxf="1">
    <nc r="E43" t="inlineStr">
      <is>
        <t>481,26р.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5" sId="39" odxf="1" dxf="1">
    <nc r="F43" t="inlineStr">
      <is>
        <t>506,59р.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66" sId="39" odxf="1" dxf="1">
    <nc r="A44" t="inlineStr">
      <is>
        <t xml:space="preserve">Наличник 89 мм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67" sId="39" odxf="1" dxf="1">
    <nc r="B44">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4" start="0" length="0">
    <dxf>
      <font>
        <sz val="6"/>
        <color rgb="FFFF0000"/>
        <name val="Arial Narrow"/>
        <scheme val="none"/>
      </font>
      <numFmt numFmtId="2" formatCode="0.00"/>
      <fill>
        <patternFill patternType="solid">
          <bgColor theme="0"/>
        </patternFill>
      </fill>
      <alignment horizontal="center" vertical="center" readingOrder="0"/>
    </dxf>
  </rfmt>
  <rcc rId="11068" sId="39" odxf="1" dxf="1">
    <nc r="D44" t="inlineStr">
      <is>
        <t>318,00р.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9" sId="39" odxf="1" dxf="1">
    <nc r="E44" t="inlineStr">
      <is>
        <t>402,80р.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0" sId="39" odxf="1" dxf="1">
    <nc r="F44" t="inlineStr">
      <is>
        <t>424,00р.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71" sId="39" odxf="1" dxf="1">
    <nc r="A45" t="inlineStr">
      <is>
        <t>Откос 254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72" sId="39" odxf="1" dxf="1">
    <nc r="B45">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5" start="0" length="0">
    <dxf>
      <font>
        <sz val="6"/>
        <color rgb="FFFF0000"/>
        <name val="Arial Narrow"/>
        <scheme val="none"/>
      </font>
      <numFmt numFmtId="2" formatCode="0.00"/>
      <fill>
        <patternFill patternType="solid">
          <bgColor theme="0"/>
        </patternFill>
      </fill>
      <alignment horizontal="center" vertical="center" readingOrder="0"/>
    </dxf>
  </rfmt>
  <rcc rId="11073" sId="39" odxf="1" dxf="1">
    <nc r="D45" t="inlineStr">
      <is>
        <t>448,39р.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4" sId="39" odxf="1" dxf="1">
    <nc r="E45" t="inlineStr">
      <is>
        <t>567,96р.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5" sId="39" odxf="1" dxf="1">
    <nc r="F45" t="inlineStr">
      <is>
        <t>597,86р.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76" sId="39" odxf="1" dxf="1">
    <nc r="A46" t="inlineStr">
      <is>
        <t>J-фаска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77" sId="39" odxf="1" dxf="1">
    <nc r="B4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6" start="0" length="0">
    <dxf>
      <font>
        <sz val="6"/>
        <color rgb="FFFF0000"/>
        <name val="Arial Narrow"/>
        <scheme val="none"/>
      </font>
      <numFmt numFmtId="2" formatCode="0.00"/>
      <fill>
        <patternFill patternType="solid">
          <bgColor theme="0"/>
        </patternFill>
      </fill>
      <alignment horizontal="center" vertical="center" readingOrder="0"/>
    </dxf>
  </rfmt>
  <rcc rId="11078" sId="39" odxf="1" dxf="1">
    <nc r="D46" t="inlineStr">
      <is>
        <t>388,81р.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9" sId="39" odxf="1" dxf="1">
    <nc r="E46" t="inlineStr">
      <is>
        <t>492,49р.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0" sId="39" odxf="1" dxf="1">
    <nc r="F46" t="inlineStr">
      <is>
        <t>518,41р.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81" sId="39" odxf="1" dxf="1">
    <nc r="A47" t="inlineStr">
      <is>
        <t xml:space="preserve">Молдинг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82" sId="39" odxf="1" dxf="1">
    <nc r="B47">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7" start="0" length="0">
    <dxf>
      <font>
        <sz val="6"/>
        <color rgb="FFFF0000"/>
        <name val="Arial Narrow"/>
        <scheme val="none"/>
      </font>
      <numFmt numFmtId="2" formatCode="0.00"/>
      <fill>
        <patternFill patternType="solid">
          <bgColor theme="0"/>
        </patternFill>
      </fill>
      <alignment horizontal="center" vertical="center" readingOrder="0"/>
    </dxf>
  </rfmt>
  <rcc rId="11083" sId="39" odxf="1" dxf="1">
    <nc r="D47" t="inlineStr">
      <is>
        <t>278,02р.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4" sId="39" odxf="1" dxf="1">
    <nc r="E47" t="inlineStr">
      <is>
        <t>352,16р.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5" sId="39" odxf="1" dxf="1">
    <nc r="F47" t="inlineStr">
      <is>
        <t>370,70р.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86" sId="39" odxf="1" dxf="1">
    <nc r="A48" t="inlineStr">
      <is>
        <t>Отлив</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87" sId="39" odxf="1" dxf="1">
    <nc r="B48">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8" start="0" length="0">
    <dxf>
      <font>
        <sz val="6"/>
        <color rgb="FFFF0000"/>
        <name val="Arial Narrow"/>
        <scheme val="none"/>
      </font>
      <numFmt numFmtId="2" formatCode="0.00"/>
      <fill>
        <patternFill patternType="solid">
          <bgColor theme="0"/>
        </patternFill>
      </fill>
      <alignment horizontal="center" vertical="center" readingOrder="0"/>
    </dxf>
  </rfmt>
  <rcc rId="11088" sId="39" odxf="1" dxf="1">
    <nc r="D48" t="inlineStr">
      <is>
        <t>223,70р.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9" sId="39" odxf="1" dxf="1">
    <nc r="E48" t="inlineStr">
      <is>
        <t>283,35р.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0" sId="39" odxf="1" dxf="1">
    <nc r="F48" t="inlineStr">
      <is>
        <t>298,27р.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91" sId="39" odxf="1" dxf="1">
    <nc r="A49" t="inlineStr">
      <is>
        <t>Околооконный 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92" sId="39" odxf="1" dxf="1">
    <nc r="B49">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9" start="0" length="0">
    <dxf>
      <font>
        <sz val="6"/>
        <color rgb="FFFF0000"/>
        <name val="Arial Narrow"/>
        <scheme val="none"/>
      </font>
      <numFmt numFmtId="2" formatCode="0.00"/>
      <fill>
        <patternFill patternType="solid">
          <bgColor theme="0"/>
        </patternFill>
      </fill>
      <alignment horizontal="center" vertical="center" readingOrder="0"/>
    </dxf>
  </rfmt>
  <rcc rId="11093" sId="39" odxf="1" dxf="1">
    <nc r="D49" t="inlineStr">
      <is>
        <t>496,30р.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4" sId="39" odxf="1" dxf="1">
    <nc r="E49" t="inlineStr">
      <is>
        <t>628,65р.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5" sId="39" odxf="1" dxf="1">
    <nc r="F49" t="inlineStr">
      <is>
        <t>661,73р.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96" sId="39" odxf="1" dxf="1">
    <nc r="A50" t="inlineStr">
      <is>
        <t xml:space="preserve">Гибкий 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97" sId="39" odxf="1" dxf="1">
    <nc r="B50">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0" start="0" length="0">
    <dxf>
      <font>
        <sz val="6"/>
        <color rgb="FFFF0000"/>
        <name val="Arial Narrow"/>
        <scheme val="none"/>
      </font>
      <numFmt numFmtId="2" formatCode="0.00"/>
      <fill>
        <patternFill patternType="solid">
          <bgColor theme="0"/>
        </patternFill>
      </fill>
      <alignment horizontal="center" vertical="center" readingOrder="0"/>
    </dxf>
  </rfmt>
  <rcc rId="11098" sId="39" odxf="1" dxf="1">
    <nc r="D50" t="inlineStr">
      <is>
        <t>1 465,22р.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9" sId="39" odxf="1" dxf="1">
    <nc r="E50" t="inlineStr">
      <is>
        <t>1 855,94р.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00" sId="39" odxf="1" dxf="1">
    <nc r="F50" t="inlineStr">
      <is>
        <t>1 953,63р.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51" start="0" length="0">
    <dxf>
      <font>
        <sz val="11"/>
        <color auto="1"/>
        <name val="Arial Narrow"/>
        <scheme val="none"/>
      </font>
      <numFmt numFmtId="13" formatCode="0%"/>
      <alignment vertical="center" readingOrder="0"/>
    </dxf>
  </rfmt>
  <rfmt sheetId="39" sqref="B51" start="0" length="0">
    <dxf>
      <font>
        <sz val="11"/>
        <color auto="1"/>
        <name val="Arial Narrow"/>
        <scheme val="none"/>
      </font>
      <numFmt numFmtId="13" formatCode="0%"/>
      <alignment vertical="center" readingOrder="0"/>
    </dxf>
  </rfmt>
  <rfmt sheetId="39" sqref="C51" start="0" length="0">
    <dxf>
      <font>
        <sz val="11"/>
        <color auto="1"/>
        <name val="Arial Narrow"/>
        <scheme val="none"/>
      </font>
      <numFmt numFmtId="13" formatCode="0%"/>
      <alignment vertical="center" readingOrder="0"/>
    </dxf>
  </rfmt>
  <rfmt sheetId="39" sqref="D51" start="0" length="0">
    <dxf>
      <font>
        <sz val="11"/>
        <color auto="1"/>
        <name val="Arial Narrow"/>
        <scheme val="none"/>
      </font>
      <numFmt numFmtId="13" formatCode="0%"/>
      <fill>
        <patternFill patternType="solid">
          <bgColor theme="9" tint="0.79998168889431442"/>
        </patternFill>
      </fill>
      <alignment vertical="center" readingOrder="0"/>
    </dxf>
  </rfmt>
  <rfmt sheetId="39" sqref="E51" start="0" length="0">
    <dxf>
      <font>
        <sz val="11"/>
        <color auto="1"/>
        <name val="Arial Narrow"/>
        <scheme val="none"/>
      </font>
      <numFmt numFmtId="13" formatCode="0%"/>
      <fill>
        <patternFill patternType="solid">
          <bgColor theme="9" tint="0.79998168889431442"/>
        </patternFill>
      </fill>
      <alignment vertical="center" readingOrder="0"/>
    </dxf>
  </rfmt>
  <rfmt sheetId="39" sqref="F51" start="0" length="0">
    <dxf>
      <font>
        <sz val="11"/>
        <color auto="1"/>
        <name val="Arial Narrow"/>
        <scheme val="none"/>
      </font>
      <numFmt numFmtId="13" formatCode="0%"/>
      <fill>
        <patternFill patternType="solid">
          <bgColor theme="9" tint="0.79998168889431442"/>
        </patternFill>
      </fill>
      <alignment vertical="center" readingOrder="0"/>
    </dxf>
  </rfmt>
  <rfmt sheetId="39" sqref="A52" start="0" length="0">
    <dxf>
      <font>
        <sz val="11"/>
        <color theme="1"/>
        <name val="Arial Narrow"/>
        <scheme val="none"/>
      </font>
      <fill>
        <patternFill patternType="solid">
          <bgColor theme="0"/>
        </patternFill>
      </fill>
      <alignment vertical="center" readingOrder="0"/>
    </dxf>
  </rfmt>
  <rfmt sheetId="39" sqref="B52" start="0" length="0">
    <dxf>
      <font>
        <sz val="11"/>
        <color theme="1"/>
        <name val="Arial Narrow"/>
        <scheme val="none"/>
      </font>
      <fill>
        <patternFill patternType="solid">
          <bgColor theme="0"/>
        </patternFill>
      </fill>
      <alignment vertical="center" readingOrder="0"/>
    </dxf>
  </rfmt>
  <rfmt sheetId="39" sqref="C52" start="0" length="0">
    <dxf>
      <font>
        <sz val="11"/>
        <color auto="1"/>
        <name val="Arial Narrow"/>
        <scheme val="none"/>
      </font>
      <numFmt numFmtId="13" formatCode="0%"/>
      <fill>
        <patternFill patternType="solid">
          <bgColor theme="0"/>
        </patternFill>
      </fill>
      <alignment vertical="center" readingOrder="0"/>
    </dxf>
  </rfmt>
  <rfmt sheetId="39" sqref="D52" start="0" length="0">
    <dxf>
      <font>
        <sz val="11"/>
        <color auto="1"/>
        <name val="Arial Narrow"/>
        <scheme val="none"/>
      </font>
      <numFmt numFmtId="13" formatCode="0%"/>
      <alignment vertical="center" readingOrder="0"/>
    </dxf>
  </rfmt>
  <rfmt sheetId="39" sqref="E52" start="0" length="0">
    <dxf>
      <font>
        <sz val="11"/>
        <color auto="1"/>
        <name val="Arial Narrow"/>
        <scheme val="none"/>
      </font>
      <numFmt numFmtId="13" formatCode="0%"/>
      <alignment vertical="center" readingOrder="0"/>
    </dxf>
  </rfmt>
  <rfmt sheetId="39" sqref="F52" start="0" length="0">
    <dxf>
      <font>
        <sz val="11"/>
        <color auto="1"/>
        <name val="Arial Narrow"/>
        <scheme val="none"/>
      </font>
      <numFmt numFmtId="13" formatCode="0%"/>
      <alignment vertical="center" readingOrder="0"/>
    </dxf>
  </rfmt>
  <rcc rId="11101" sId="39" odxf="1" dxf="1">
    <nc r="A53" t="inlineStr">
      <is>
        <t>Аксессуары Döcke, Светлые цвета (Голубика, Халва, Фисташки, Сливки, Крем-брюле, Лимон, Персик, Банан, Киви, Слива, Карамель, Капучино)</t>
      </is>
    </nc>
    <odxf>
      <font>
        <sz val="11"/>
        <color theme="1"/>
        <name val="Calibri"/>
        <scheme val="minor"/>
      </font>
      <fill>
        <patternFill patternType="none">
          <bgColor indexed="65"/>
        </patternFill>
      </fill>
      <alignment vertical="bottom" wrapText="0" readingOrder="0"/>
      <border outline="0">
        <left/>
        <right/>
        <top/>
        <bottom/>
      </border>
    </odxf>
    <ndxf>
      <font>
        <sz val="11"/>
        <color auto="1"/>
        <name val="Arial Narrow"/>
        <scheme val="none"/>
      </font>
      <fill>
        <patternFill patternType="solid">
          <bgColor rgb="FFFFFF99"/>
        </patternFill>
      </fill>
      <alignment vertical="center" wrapText="1" readingOrder="0"/>
      <border outline="0">
        <left style="thin">
          <color indexed="64"/>
        </left>
        <right style="thin">
          <color indexed="64"/>
        </right>
        <top style="thin">
          <color indexed="64"/>
        </top>
        <bottom style="thin">
          <color indexed="64"/>
        </bottom>
      </border>
    </ndxf>
  </rcc>
  <rcc rId="11102" sId="39" odxf="1" dxf="1">
    <nc r="B53"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53" start="0" length="0">
    <dxf>
      <font>
        <sz val="11"/>
        <color auto="1"/>
        <name val="Arial Narrow"/>
        <scheme val="none"/>
      </font>
      <fill>
        <patternFill patternType="solid">
          <bgColor theme="0"/>
        </patternFill>
      </fill>
      <alignment vertical="center" readingOrder="0"/>
    </dxf>
  </rfmt>
  <rfmt sheetId="39" sqref="D5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5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5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103" sId="39" odxf="1" dxf="1">
    <nc r="A54" t="inlineStr">
      <is>
        <t xml:space="preserve">Финишный профиль </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11104" sId="39" odxf="1" dxf="1">
    <nc r="B54">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54" start="0" length="0">
    <dxf>
      <font>
        <sz val="6"/>
        <color rgb="FFFF0000"/>
        <name val="Arial Narrow"/>
        <scheme val="none"/>
      </font>
      <numFmt numFmtId="2" formatCode="0.00"/>
      <fill>
        <patternFill patternType="solid">
          <bgColor theme="0"/>
        </patternFill>
      </fill>
      <alignment horizontal="center" vertical="center" readingOrder="0"/>
    </dxf>
  </rfmt>
  <rcc rId="11105" sId="39" odxf="1" dxf="1">
    <nc r="D54" t="inlineStr">
      <is>
        <t>152,42р.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06" sId="39" odxf="1" dxf="1">
    <nc r="E54" t="inlineStr">
      <is>
        <t>193,07р.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07" sId="39" odxf="1" dxf="1">
    <nc r="F54" t="inlineStr">
      <is>
        <t>203,23р.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08" sId="39" odxf="1" dxf="1">
    <nc r="A55"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09" sId="39" odxf="1" dxf="1">
    <nc r="B55">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5" start="0" length="0">
    <dxf>
      <font>
        <sz val="6"/>
        <color rgb="FFFF0000"/>
        <name val="Arial Narrow"/>
        <scheme val="none"/>
      </font>
      <numFmt numFmtId="2" formatCode="0.00"/>
      <fill>
        <patternFill patternType="solid">
          <bgColor theme="0"/>
        </patternFill>
      </fill>
      <alignment horizontal="center" vertical="center" readingOrder="0"/>
    </dxf>
  </rfmt>
  <rcc rId="11110" sId="39" odxf="1" dxf="1">
    <nc r="D55" t="inlineStr">
      <is>
        <t>152,42р.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1" sId="39" odxf="1" dxf="1">
    <nc r="E55" t="inlineStr">
      <is>
        <t>193,07р.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2" sId="39" odxf="1" dxf="1">
    <nc r="F55" t="inlineStr">
      <is>
        <t>203,23р.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13" sId="39" odxf="1" dxf="1">
    <nc r="A56" t="inlineStr">
      <is>
        <t xml:space="preserve">Н-профиль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14" sId="39" odxf="1" dxf="1">
    <nc r="B56">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6" start="0" length="0">
    <dxf>
      <font>
        <sz val="6"/>
        <color rgb="FFFF0000"/>
        <name val="Arial Narrow"/>
        <scheme val="none"/>
      </font>
      <numFmt numFmtId="2" formatCode="0.00"/>
      <fill>
        <patternFill patternType="solid">
          <bgColor theme="0"/>
        </patternFill>
      </fill>
      <alignment horizontal="center" vertical="center" readingOrder="0"/>
    </dxf>
  </rfmt>
  <rcc rId="11115" sId="39" odxf="1" dxf="1">
    <nc r="D56" t="inlineStr">
      <is>
        <t>339,03р.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6" sId="39" odxf="1" dxf="1">
    <nc r="E56" t="inlineStr">
      <is>
        <t>429,43р.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7" sId="39" odxf="1" dxf="1">
    <nc r="F56" t="inlineStr">
      <is>
        <t>452,04р.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18" sId="39" odxf="1" dxf="1">
    <nc r="A57" t="inlineStr">
      <is>
        <t xml:space="preserve">Внешний угол 75мм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19" sId="39" odxf="1" dxf="1">
    <nc r="B57">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7" start="0" length="0">
    <dxf>
      <font>
        <sz val="6"/>
        <color rgb="FFFF0000"/>
        <name val="Arial Narrow"/>
        <scheme val="none"/>
      </font>
      <numFmt numFmtId="2" formatCode="0.00"/>
      <fill>
        <patternFill patternType="solid">
          <bgColor theme="0"/>
        </patternFill>
      </fill>
      <alignment horizontal="center" vertical="center" readingOrder="0"/>
    </dxf>
  </rfmt>
  <rcc rId="11120" sId="39" odxf="1" dxf="1">
    <nc r="D57" t="inlineStr">
      <is>
        <t>378,72р.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1" sId="39" odxf="1" dxf="1">
    <nc r="E57" t="inlineStr">
      <is>
        <t>479,72р.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2" sId="39" odxf="1" dxf="1">
    <nc r="F57" t="inlineStr">
      <is>
        <t>504,96р.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23" sId="39" odxf="1" dxf="1">
    <nc r="A58" t="inlineStr">
      <is>
        <t xml:space="preserve">Внутренний угол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24" sId="39" odxf="1" dxf="1">
    <nc r="B58">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8" start="0" length="0">
    <dxf>
      <font>
        <sz val="6"/>
        <color rgb="FFFF0000"/>
        <name val="Arial Narrow"/>
        <scheme val="none"/>
      </font>
      <numFmt numFmtId="2" formatCode="0.00"/>
      <fill>
        <patternFill patternType="solid">
          <bgColor theme="0"/>
        </patternFill>
      </fill>
      <alignment horizontal="center" vertical="center" readingOrder="0"/>
    </dxf>
  </rfmt>
  <rcc rId="11125" sId="39" odxf="1" dxf="1">
    <nc r="D58" t="inlineStr">
      <is>
        <t>319,62р.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6" sId="39" odxf="1" dxf="1">
    <nc r="E58" t="inlineStr">
      <is>
        <t>404,85р.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7" sId="39" odxf="1" dxf="1">
    <nc r="F58" t="inlineStr">
      <is>
        <t>426,16р.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28" sId="39" odxf="1" dxf="1">
    <nc r="A59" t="inlineStr">
      <is>
        <t xml:space="preserve">Околооконный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29" sId="39" odxf="1" dxf="1">
    <nc r="B59">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9" start="0" length="0">
    <dxf>
      <font>
        <sz val="6"/>
        <color rgb="FFFF0000"/>
        <name val="Arial Narrow"/>
        <scheme val="none"/>
      </font>
      <numFmt numFmtId="2" formatCode="0.00"/>
      <fill>
        <patternFill patternType="solid">
          <bgColor theme="0"/>
        </patternFill>
      </fill>
      <alignment horizontal="center" vertical="center" readingOrder="0"/>
    </dxf>
  </rfmt>
  <rcc rId="11130" sId="39" odxf="1" dxf="1">
    <nc r="D59" t="inlineStr">
      <is>
        <t>496,30р.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1" sId="39" odxf="1" dxf="1">
    <nc r="E59" t="inlineStr">
      <is>
        <t>628,65р.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2" sId="39" odxf="1" dxf="1">
    <nc r="F59" t="inlineStr">
      <is>
        <t>661,73р.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60" start="0" length="0">
    <dxf>
      <font>
        <sz val="11"/>
        <color auto="1"/>
        <name val="Arial Narrow"/>
        <scheme val="none"/>
      </font>
      <numFmt numFmtId="13" formatCode="0%"/>
      <alignment vertical="center" readingOrder="0"/>
    </dxf>
  </rfmt>
  <rfmt sheetId="39" sqref="B60" start="0" length="0">
    <dxf>
      <font>
        <sz val="11"/>
        <color auto="1"/>
        <name val="Arial Narrow"/>
        <scheme val="none"/>
      </font>
      <numFmt numFmtId="13" formatCode="0%"/>
      <alignment vertical="center" readingOrder="0"/>
    </dxf>
  </rfmt>
  <rfmt sheetId="39" sqref="C60" start="0" length="0">
    <dxf>
      <font>
        <sz val="11"/>
        <color auto="1"/>
        <name val="Arial Narrow"/>
        <scheme val="none"/>
      </font>
      <numFmt numFmtId="13" formatCode="0%"/>
      <alignment vertical="center" readingOrder="0"/>
    </dxf>
  </rfmt>
  <rfmt sheetId="39" sqref="D60" start="0" length="0">
    <dxf>
      <font>
        <sz val="11"/>
        <color auto="1"/>
        <name val="Arial Narrow"/>
        <scheme val="none"/>
      </font>
      <numFmt numFmtId="13" formatCode="0%"/>
      <fill>
        <patternFill patternType="solid">
          <bgColor theme="9" tint="0.79998168889431442"/>
        </patternFill>
      </fill>
      <alignment vertical="center" readingOrder="0"/>
    </dxf>
  </rfmt>
  <rfmt sheetId="39" sqref="E60" start="0" length="0">
    <dxf>
      <font>
        <sz val="11"/>
        <color auto="1"/>
        <name val="Arial Narrow"/>
        <scheme val="none"/>
      </font>
      <numFmt numFmtId="13" formatCode="0%"/>
      <fill>
        <patternFill patternType="solid">
          <bgColor theme="9" tint="0.79998168889431442"/>
        </patternFill>
      </fill>
      <alignment vertical="center" readingOrder="0"/>
    </dxf>
  </rfmt>
  <rfmt sheetId="39" sqref="F60" start="0" length="0">
    <dxf>
      <font>
        <sz val="11"/>
        <color auto="1"/>
        <name val="Arial Narrow"/>
        <scheme val="none"/>
      </font>
      <numFmt numFmtId="13" formatCode="0%"/>
      <fill>
        <patternFill patternType="solid">
          <bgColor theme="9" tint="0.79998168889431442"/>
        </patternFill>
      </fill>
      <alignment vertical="center" readingOrder="0"/>
    </dxf>
  </rfmt>
  <rfmt sheetId="39" sqref="A61" start="0" length="0">
    <dxf>
      <font>
        <sz val="11"/>
        <color theme="1"/>
        <name val="Arial Narrow"/>
        <scheme val="none"/>
      </font>
      <fill>
        <patternFill patternType="solid">
          <bgColor theme="0"/>
        </patternFill>
      </fill>
      <alignment vertical="center" readingOrder="0"/>
    </dxf>
  </rfmt>
  <rfmt sheetId="39" sqref="B61" start="0" length="0">
    <dxf>
      <font>
        <sz val="11"/>
        <color theme="1"/>
        <name val="Arial Narrow"/>
        <scheme val="none"/>
      </font>
      <fill>
        <patternFill patternType="solid">
          <bgColor theme="0"/>
        </patternFill>
      </fill>
      <alignment vertical="center" readingOrder="0"/>
    </dxf>
  </rfmt>
  <rfmt sheetId="39" sqref="C61" start="0" length="0">
    <dxf>
      <font>
        <sz val="11"/>
        <color auto="1"/>
        <name val="Arial Narrow"/>
        <scheme val="none"/>
      </font>
      <numFmt numFmtId="13" formatCode="0%"/>
      <fill>
        <patternFill patternType="solid">
          <bgColor theme="0"/>
        </patternFill>
      </fill>
      <alignment vertical="center" readingOrder="0"/>
    </dxf>
  </rfmt>
  <rfmt sheetId="39" sqref="D61" start="0" length="0">
    <dxf>
      <font>
        <sz val="11"/>
        <color auto="1"/>
        <name val="Arial Narrow"/>
        <scheme val="none"/>
      </font>
      <numFmt numFmtId="13" formatCode="0%"/>
      <alignment vertical="center" readingOrder="0"/>
    </dxf>
  </rfmt>
  <rfmt sheetId="39" sqref="E61" start="0" length="0">
    <dxf>
      <font>
        <sz val="11"/>
        <color auto="1"/>
        <name val="Arial Narrow"/>
        <scheme val="none"/>
      </font>
      <numFmt numFmtId="13" formatCode="0%"/>
      <alignment vertical="center" readingOrder="0"/>
    </dxf>
  </rfmt>
  <rfmt sheetId="39" sqref="F61" start="0" length="0">
    <dxf>
      <font>
        <sz val="11"/>
        <color auto="1"/>
        <name val="Arial Narrow"/>
        <scheme val="none"/>
      </font>
      <numFmt numFmtId="13" formatCode="0%"/>
      <alignment vertical="center" readingOrder="0"/>
    </dxf>
  </rfmt>
  <rcc rId="11133" sId="39" odxf="1" dxf="1">
    <nc r="A62" t="inlineStr">
      <is>
        <r>
          <t xml:space="preserve">Аксессуары Döcke, Темные цвета </t>
        </r>
        <r>
          <rPr>
            <sz val="14"/>
            <rFont val="Arial Narrow"/>
            <family val="2"/>
            <charset val="204"/>
          </rPr>
          <t>(Шоколад, Гранат, Каштан, Графит, Ирис, Пралине)</t>
        </r>
      </is>
    </nc>
    <odxf>
      <font>
        <b val="0"/>
        <sz val="11"/>
        <color theme="1"/>
        <name val="Calibri"/>
        <scheme val="minor"/>
      </font>
      <fill>
        <patternFill patternType="none">
          <bgColor indexed="65"/>
        </patternFill>
      </fill>
      <alignment vertical="bottom" wrapText="0" readingOrder="0"/>
      <border outline="0">
        <left/>
        <right/>
        <top/>
        <bottom/>
      </border>
    </odxf>
    <ndxf>
      <font>
        <b/>
        <sz val="14"/>
        <color auto="1"/>
        <name val="Arial Narrow"/>
        <scheme val="none"/>
      </font>
      <fill>
        <patternFill patternType="solid">
          <bgColor rgb="FFFFFF99"/>
        </patternFill>
      </fill>
      <alignment vertical="center" wrapText="1" readingOrder="0"/>
      <border outline="0">
        <left style="thin">
          <color indexed="64"/>
        </left>
        <right style="thin">
          <color indexed="64"/>
        </right>
        <top style="thin">
          <color indexed="64"/>
        </top>
        <bottom style="thin">
          <color indexed="64"/>
        </bottom>
      </border>
    </ndxf>
  </rcc>
  <rcc rId="11134" sId="39" odxf="1" dxf="1">
    <nc r="B62"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62" start="0" length="0">
    <dxf>
      <font>
        <sz val="11"/>
        <color auto="1"/>
        <name val="Arial Narrow"/>
        <scheme val="none"/>
      </font>
      <fill>
        <patternFill patternType="solid">
          <bgColor theme="0"/>
        </patternFill>
      </fill>
      <alignment vertical="center" readingOrder="0"/>
    </dxf>
  </rfmt>
  <rfmt sheetId="39" sqref="D6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6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6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135" sId="39" odxf="1" dxf="1">
    <nc r="A63" t="inlineStr">
      <is>
        <t xml:space="preserve">Молдинг </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11136" sId="39" odxf="1" dxf="1">
    <nc r="B63">
      <v>50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63" start="0" length="0">
    <dxf>
      <font>
        <sz val="6"/>
        <color rgb="FFFF0000"/>
        <name val="Arial Narrow"/>
        <scheme val="none"/>
      </font>
      <numFmt numFmtId="2" formatCode="0.00"/>
      <fill>
        <patternFill patternType="solid">
          <bgColor theme="0"/>
        </patternFill>
      </fill>
      <alignment horizontal="center" vertical="center" readingOrder="0"/>
    </dxf>
  </rfmt>
  <rcc rId="11137" sId="39" odxf="1" dxf="1">
    <nc r="D63" t="inlineStr">
      <is>
        <t>427,38р.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8" sId="39" odxf="1" dxf="1">
    <nc r="E63" t="inlineStr">
      <is>
        <t>477,66р.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9" sId="39" odxf="1" dxf="1">
    <nc r="F63" t="inlineStr">
      <is>
        <t>502,80р.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40" sId="39" odxf="1" dxf="1">
    <nc r="A64" t="inlineStr">
      <is>
        <t xml:space="preserve">J-фаска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41" sId="39" odxf="1" dxf="1">
    <nc r="B64">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4" start="0" length="0">
    <dxf>
      <font>
        <sz val="6"/>
        <color rgb="FFFF0000"/>
        <name val="Arial Narrow"/>
        <scheme val="none"/>
      </font>
      <numFmt numFmtId="2" formatCode="0.00"/>
      <fill>
        <patternFill patternType="solid">
          <bgColor theme="0"/>
        </patternFill>
      </fill>
      <alignment horizontal="center" vertical="center" readingOrder="0"/>
    </dxf>
  </rfmt>
  <rcc rId="11142" sId="39" odxf="1" dxf="1">
    <nc r="D64" t="inlineStr">
      <is>
        <t>705,77р.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3" sId="39" odxf="1" dxf="1">
    <nc r="E64" t="inlineStr">
      <is>
        <t>788,80р.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4" sId="39" odxf="1" dxf="1">
    <nc r="F64" t="inlineStr">
      <is>
        <t>830,32р.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45" sId="39" odxf="1" dxf="1">
    <nc r="A65" t="inlineStr">
      <is>
        <t xml:space="preserve">Финишный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46" sId="39" odxf="1" dxf="1">
    <nc r="B65">
      <v>60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5" start="0" length="0">
    <dxf>
      <font>
        <sz val="6"/>
        <color rgb="FFFF0000"/>
        <name val="Arial Narrow"/>
        <scheme val="none"/>
      </font>
      <numFmt numFmtId="2" formatCode="0.00"/>
      <fill>
        <patternFill patternType="solid">
          <bgColor theme="0"/>
        </patternFill>
      </fill>
      <alignment horizontal="center" vertical="center" readingOrder="0"/>
    </dxf>
  </rfmt>
  <rcc rId="11147" sId="39" odxf="1" dxf="1">
    <nc r="D65" t="inlineStr">
      <is>
        <t>202,99р.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8" sId="39" odxf="1" dxf="1">
    <nc r="E65" t="inlineStr">
      <is>
        <t>226,87р.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9" sId="39" odxf="1" dxf="1">
    <nc r="F65" t="inlineStr">
      <is>
        <t>238,81р.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50" sId="39" odxf="1" dxf="1">
    <nc r="A66"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51" sId="39" odxf="1" dxf="1">
    <nc r="B66">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6" start="0" length="0">
    <dxf>
      <font>
        <sz val="6"/>
        <color rgb="FFFF0000"/>
        <name val="Arial Narrow"/>
        <scheme val="none"/>
      </font>
      <numFmt numFmtId="2" formatCode="0.00"/>
      <fill>
        <patternFill patternType="solid">
          <bgColor theme="0"/>
        </patternFill>
      </fill>
      <alignment horizontal="center" vertical="center" readingOrder="0"/>
    </dxf>
  </rfmt>
  <rcc rId="11152" sId="39" odxf="1" dxf="1">
    <nc r="D66" t="inlineStr">
      <is>
        <t>220,51р.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3" sId="39" odxf="1" dxf="1">
    <nc r="E66" t="inlineStr">
      <is>
        <t>246,45р.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4" sId="39" odxf="1" dxf="1">
    <nc r="F66" t="inlineStr">
      <is>
        <t>259,42р.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55" sId="39" odxf="1" dxf="1">
    <nc r="A67" t="inlineStr">
      <is>
        <t xml:space="preserve">Н-профиль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56" sId="39" odxf="1" dxf="1">
    <nc r="B67">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7" start="0" length="0">
    <dxf>
      <font>
        <sz val="6"/>
        <color rgb="FFFF0000"/>
        <name val="Arial Narrow"/>
        <scheme val="none"/>
      </font>
      <numFmt numFmtId="2" formatCode="0.00"/>
      <fill>
        <patternFill patternType="solid">
          <bgColor theme="0"/>
        </patternFill>
      </fill>
      <alignment horizontal="center" vertical="center" readingOrder="0"/>
    </dxf>
  </rfmt>
  <rcc rId="11157" sId="39" odxf="1" dxf="1">
    <nc r="D67" t="inlineStr">
      <is>
        <t>527,00р.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8" sId="39" odxf="1" dxf="1">
    <nc r="E67" t="inlineStr">
      <is>
        <t>589,00р.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9" sId="39" odxf="1" dxf="1">
    <nc r="F67" t="inlineStr">
      <is>
        <t>620,00р.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60" sId="39" odxf="1" dxf="1">
    <nc r="A68" t="inlineStr">
      <is>
        <t>Внутренний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61" sId="39" odxf="1" dxf="1">
    <nc r="B68">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8" start="0" length="0">
    <dxf>
      <font>
        <sz val="6"/>
        <color rgb="FFFF0000"/>
        <name val="Arial Narrow"/>
        <scheme val="none"/>
      </font>
      <numFmt numFmtId="2" formatCode="0.00"/>
      <fill>
        <patternFill patternType="solid">
          <bgColor theme="0"/>
        </patternFill>
      </fill>
      <alignment horizontal="center" vertical="center" readingOrder="0"/>
    </dxf>
  </rfmt>
  <rcc rId="11162" sId="39" odxf="1" dxf="1">
    <nc r="D68" t="inlineStr">
      <is>
        <t>517,83р.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3" sId="39" odxf="1" dxf="1">
    <nc r="E68" t="inlineStr">
      <is>
        <t>578,75р.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4" sId="39" odxf="1" dxf="1">
    <nc r="F68" t="inlineStr">
      <is>
        <t>609,21р.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65" sId="39" odxf="1" dxf="1">
    <nc r="A69" t="inlineStr">
      <is>
        <t>Внешний угол  75мм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66" sId="39" odxf="1" dxf="1">
    <nc r="B69">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9" start="0" length="0">
    <dxf>
      <font>
        <sz val="6"/>
        <color rgb="FFFF0000"/>
        <name val="Arial Narrow"/>
        <scheme val="none"/>
      </font>
      <numFmt numFmtId="2" formatCode="0.00"/>
      <fill>
        <patternFill patternType="solid">
          <bgColor theme="0"/>
        </patternFill>
      </fill>
      <alignment horizontal="center" vertical="center" readingOrder="0"/>
    </dxf>
  </rfmt>
  <rcc rId="11167" sId="39" odxf="1" dxf="1">
    <nc r="D69" t="inlineStr">
      <is>
        <t>601,41р.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8" sId="39" odxf="1" dxf="1">
    <nc r="E69" t="inlineStr">
      <is>
        <t>672,17р.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9" sId="39" odxf="1" dxf="1">
    <nc r="F69" t="inlineStr">
      <is>
        <t>707,54р.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70" sId="39" odxf="1" dxf="1">
    <nc r="A70" t="inlineStr">
      <is>
        <t xml:space="preserve">Околооконный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71" sId="39" odxf="1" dxf="1">
    <nc r="B70">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0" start="0" length="0">
    <dxf>
      <font>
        <sz val="6"/>
        <color rgb="FFFF0000"/>
        <name val="Arial Narrow"/>
        <scheme val="none"/>
      </font>
      <numFmt numFmtId="2" formatCode="0.00"/>
      <fill>
        <patternFill patternType="solid">
          <bgColor theme="0"/>
        </patternFill>
      </fill>
      <alignment horizontal="center" vertical="center" readingOrder="0"/>
    </dxf>
  </rfmt>
  <rcc rId="11172" sId="39" odxf="1" dxf="1">
    <nc r="D70" t="inlineStr">
      <is>
        <t>772,34р.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3" sId="39" odxf="1" dxf="1">
    <nc r="E70" t="inlineStr">
      <is>
        <t>863,20р.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4" sId="39" odxf="1" dxf="1">
    <nc r="F70" t="inlineStr">
      <is>
        <t>908,63р.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75" sId="39" odxf="1" dxf="1">
    <nc r="A71" t="inlineStr">
      <is>
        <t>Откос 254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76" sId="39" odxf="1" dxf="1">
    <nc r="B71">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1" start="0" length="0">
    <dxf>
      <font>
        <sz val="6"/>
        <color rgb="FFFF0000"/>
        <name val="Arial Narrow"/>
        <scheme val="none"/>
      </font>
      <numFmt numFmtId="2" formatCode="0.00"/>
      <fill>
        <patternFill patternType="solid">
          <bgColor theme="0"/>
        </patternFill>
      </fill>
      <alignment horizontal="center" vertical="center" readingOrder="0"/>
    </dxf>
  </rfmt>
  <rcc rId="11177" sId="39" odxf="1" dxf="1">
    <nc r="D71" t="inlineStr">
      <is>
        <t>677,09р.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8" sId="39" odxf="1" dxf="1">
    <nc r="E71" t="inlineStr">
      <is>
        <t>756,75р.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9" sId="39" odxf="1" dxf="1">
    <nc r="F71" t="inlineStr">
      <is>
        <t>796,58р.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80" sId="39" odxf="1" dxf="1">
    <nc r="A72" t="inlineStr">
      <is>
        <t>Наличник 89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81" sId="39" odxf="1" dxf="1">
    <nc r="B72">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2" start="0" length="0">
    <dxf>
      <font>
        <sz val="6"/>
        <color rgb="FFFF0000"/>
        <name val="Arial Narrow"/>
        <scheme val="none"/>
      </font>
      <numFmt numFmtId="2" formatCode="0.00"/>
      <fill>
        <patternFill patternType="solid">
          <bgColor theme="0"/>
        </patternFill>
      </fill>
      <alignment horizontal="center" vertical="center" readingOrder="0"/>
    </dxf>
  </rfmt>
  <rcc rId="11182" sId="39" odxf="1" dxf="1">
    <nc r="D72" t="inlineStr">
      <is>
        <t>573,74р.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3" sId="39" odxf="1" dxf="1">
    <nc r="E72" t="inlineStr">
      <is>
        <t>641,23р.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4" sId="39" odxf="1" dxf="1">
    <nc r="F72" t="inlineStr">
      <is>
        <t>674,98р.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85" sId="39" odxf="1" dxf="1">
    <nc r="A73" t="inlineStr">
      <is>
        <t>Наличник 75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86" sId="39" odxf="1" dxf="1">
    <nc r="B7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3" start="0" length="0">
    <dxf>
      <font>
        <sz val="6"/>
        <color rgb="FFFF0000"/>
        <name val="Arial Narrow"/>
        <scheme val="none"/>
      </font>
      <numFmt numFmtId="2" formatCode="0.00"/>
      <fill>
        <patternFill patternType="solid">
          <bgColor theme="0"/>
        </patternFill>
      </fill>
      <alignment horizontal="center" vertical="center" readingOrder="0"/>
    </dxf>
  </rfmt>
  <rcc rId="11187" sId="39" odxf="1" dxf="1">
    <nc r="D73" t="inlineStr">
      <is>
        <t>618,80р.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8" sId="39" odxf="1" dxf="1">
    <nc r="E73" t="inlineStr">
      <is>
        <t>691,60р.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9" sId="39" odxf="1" dxf="1">
    <nc r="F73" t="inlineStr">
      <is>
        <t>728,00р.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90" sId="39" odxf="1" dxf="1">
    <nc r="A74" t="inlineStr">
      <is>
        <t>Гибкий J-профиль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91" sId="39" odxf="1" dxf="1">
    <nc r="B74">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4" start="0" length="0">
    <dxf>
      <font>
        <sz val="6"/>
        <color rgb="FFFF0000"/>
        <name val="Arial Narrow"/>
        <scheme val="none"/>
      </font>
      <numFmt numFmtId="2" formatCode="0.00"/>
      <fill>
        <patternFill patternType="solid">
          <bgColor theme="0"/>
        </patternFill>
      </fill>
      <alignment horizontal="center" vertical="center" readingOrder="0"/>
    </dxf>
  </rfmt>
  <rcc rId="11192" sId="39" odxf="1" dxf="1">
    <nc r="D74" t="inlineStr">
      <is>
        <t>1 631,46р.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93" sId="39" odxf="1" dxf="1">
    <nc r="E74" t="inlineStr">
      <is>
        <t>1 823,40р.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94" sId="39" odxf="1" dxf="1">
    <nc r="F74" t="inlineStr">
      <is>
        <t>1 919,37р.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75" start="0" length="0">
    <dxf>
      <font>
        <sz val="11"/>
        <color auto="1"/>
        <name val="Arial Narrow"/>
        <scheme val="none"/>
      </font>
      <numFmt numFmtId="13" formatCode="0%"/>
      <alignment vertical="center" readingOrder="0"/>
    </dxf>
  </rfmt>
  <rfmt sheetId="39" sqref="B75" start="0" length="0">
    <dxf>
      <font>
        <sz val="11"/>
        <color auto="1"/>
        <name val="Arial Narrow"/>
        <scheme val="none"/>
      </font>
      <numFmt numFmtId="13" formatCode="0%"/>
      <alignment vertical="center" readingOrder="0"/>
    </dxf>
  </rfmt>
  <rfmt sheetId="39" sqref="C75" start="0" length="0">
    <dxf>
      <font>
        <sz val="11"/>
        <color auto="1"/>
        <name val="Arial Narrow"/>
        <scheme val="none"/>
      </font>
      <numFmt numFmtId="13" formatCode="0%"/>
      <alignment vertical="center" readingOrder="0"/>
    </dxf>
  </rfmt>
  <rfmt sheetId="39" sqref="D75" start="0" length="0">
    <dxf>
      <font>
        <sz val="11"/>
        <color auto="1"/>
        <name val="Arial Narrow"/>
        <scheme val="none"/>
      </font>
      <numFmt numFmtId="13" formatCode="0%"/>
      <fill>
        <patternFill patternType="solid">
          <bgColor theme="9" tint="0.79998168889431442"/>
        </patternFill>
      </fill>
      <alignment vertical="center" readingOrder="0"/>
    </dxf>
  </rfmt>
  <rfmt sheetId="39" sqref="E75" start="0" length="0">
    <dxf>
      <font>
        <sz val="11"/>
        <color auto="1"/>
        <name val="Arial Narrow"/>
        <scheme val="none"/>
      </font>
      <numFmt numFmtId="13" formatCode="0%"/>
      <fill>
        <patternFill patternType="solid">
          <bgColor theme="9" tint="0.79998168889431442"/>
        </patternFill>
      </fill>
      <alignment vertical="center" readingOrder="0"/>
    </dxf>
  </rfmt>
  <rfmt sheetId="39" sqref="F75" start="0" length="0">
    <dxf>
      <font>
        <sz val="11"/>
        <color auto="1"/>
        <name val="Arial Narrow"/>
        <scheme val="none"/>
      </font>
      <numFmt numFmtId="13" formatCode="0%"/>
      <fill>
        <patternFill patternType="solid">
          <bgColor theme="9" tint="0.79998168889431442"/>
        </patternFill>
      </fill>
      <alignment vertical="center" readingOrder="0"/>
    </dxf>
  </rfmt>
  <rcc rId="11195" sId="39" odxf="1" dxf="1">
    <nc r="A76" t="inlineStr">
      <is>
        <t xml:space="preserve">Прайс-лист для ЦФО (Белгородская, Воронежская, Курская, Липецкая, Орловская, Тамбовская области) - 2019 </t>
      </is>
    </nc>
    <odxf>
      <font>
        <b val="0"/>
        <sz val="11"/>
        <color theme="1"/>
        <name val="Calibri"/>
        <scheme val="minor"/>
      </font>
      <fill>
        <patternFill patternType="none">
          <bgColor indexed="65"/>
        </patternFill>
      </fill>
      <alignment horizontal="general" vertical="bottom" readingOrder="0"/>
    </odxf>
    <ndxf>
      <font>
        <b/>
        <sz val="14"/>
        <color auto="1"/>
        <name val="Arial Narrow"/>
        <scheme val="none"/>
      </font>
      <fill>
        <patternFill patternType="solid">
          <bgColor theme="0"/>
        </patternFill>
      </fill>
      <alignment horizontal="left" vertical="center" readingOrder="0"/>
    </ndxf>
  </rcc>
  <rfmt sheetId="39" sqref="B76" start="0" length="0">
    <dxf>
      <font>
        <b/>
        <sz val="11"/>
        <color theme="1"/>
        <name val="Arial Narrow"/>
        <scheme val="none"/>
      </font>
      <fill>
        <patternFill patternType="solid">
          <bgColor theme="0"/>
        </patternFill>
      </fill>
      <alignment vertical="center" readingOrder="0"/>
    </dxf>
  </rfmt>
  <rfmt sheetId="39" sqref="C76" start="0" length="0">
    <dxf>
      <font>
        <b/>
        <sz val="11"/>
        <color auto="1"/>
        <name val="Arial Narrow"/>
        <scheme val="none"/>
      </font>
      <fill>
        <patternFill patternType="solid">
          <bgColor theme="0"/>
        </patternFill>
      </fill>
      <alignment vertical="center" readingOrder="0"/>
    </dxf>
  </rfmt>
  <rfmt sheetId="39" sqref="D76" start="0" length="0">
    <dxf>
      <font>
        <b/>
        <sz val="11"/>
        <color auto="1"/>
        <name val="Arial Narrow"/>
        <scheme val="none"/>
      </font>
      <fill>
        <patternFill patternType="solid">
          <bgColor theme="0"/>
        </patternFill>
      </fill>
      <alignment horizontal="right" vertical="center" readingOrder="0"/>
    </dxf>
  </rfmt>
  <rfmt sheetId="39" sqref="E76" start="0" length="0">
    <dxf>
      <font>
        <b/>
        <sz val="11"/>
        <color auto="1"/>
        <name val="Arial Narrow"/>
        <scheme val="none"/>
      </font>
      <fill>
        <patternFill patternType="solid">
          <bgColor theme="0"/>
        </patternFill>
      </fill>
      <alignment horizontal="right" vertical="center" readingOrder="0"/>
    </dxf>
  </rfmt>
  <rfmt sheetId="39" sqref="F76" start="0" length="0">
    <dxf>
      <font>
        <b/>
        <sz val="11"/>
        <color auto="1"/>
        <name val="Arial Narrow"/>
        <scheme val="none"/>
      </font>
      <fill>
        <patternFill patternType="solid">
          <bgColor theme="0"/>
        </patternFill>
      </fill>
      <alignment horizontal="right" vertical="center" readingOrder="0"/>
    </dxf>
  </rfmt>
  <rrc rId="11196" sId="39" ref="A61:XFD61" action="deleteRow">
    <rfmt sheetId="39" xfDxf="1" sqref="A61:XFD61" start="0" length="0"/>
    <rfmt sheetId="39" sqref="A61" start="0" length="0">
      <dxf>
        <font>
          <sz val="11"/>
          <color theme="1"/>
          <name val="Arial Narrow"/>
          <scheme val="none"/>
        </font>
        <fill>
          <patternFill patternType="solid">
            <bgColor theme="0"/>
          </patternFill>
        </fill>
        <alignment vertical="center" readingOrder="0"/>
      </dxf>
    </rfmt>
    <rfmt sheetId="39" sqref="B61" start="0" length="0">
      <dxf>
        <font>
          <sz val="11"/>
          <color theme="1"/>
          <name val="Arial Narrow"/>
          <scheme val="none"/>
        </font>
        <fill>
          <patternFill patternType="solid">
            <bgColor theme="0"/>
          </patternFill>
        </fill>
        <alignment vertical="center" readingOrder="0"/>
      </dxf>
    </rfmt>
    <rfmt sheetId="39" sqref="C61" start="0" length="0">
      <dxf>
        <font>
          <sz val="11"/>
          <color auto="1"/>
          <name val="Arial Narrow"/>
          <scheme val="none"/>
        </font>
        <numFmt numFmtId="13" formatCode="0%"/>
        <fill>
          <patternFill patternType="solid">
            <bgColor theme="0"/>
          </patternFill>
        </fill>
        <alignment vertical="center" readingOrder="0"/>
      </dxf>
    </rfmt>
    <rfmt sheetId="39" sqref="D61" start="0" length="0">
      <dxf>
        <font>
          <sz val="11"/>
          <color auto="1"/>
          <name val="Arial Narrow"/>
          <scheme val="none"/>
        </font>
        <numFmt numFmtId="13" formatCode="0%"/>
        <alignment vertical="center" readingOrder="0"/>
      </dxf>
    </rfmt>
    <rfmt sheetId="39" sqref="E61" start="0" length="0">
      <dxf>
        <font>
          <sz val="11"/>
          <color auto="1"/>
          <name val="Arial Narrow"/>
          <scheme val="none"/>
        </font>
        <numFmt numFmtId="13" formatCode="0%"/>
        <alignment vertical="center" readingOrder="0"/>
      </dxf>
    </rfmt>
    <rfmt sheetId="39" sqref="F61" start="0" length="0">
      <dxf>
        <font>
          <sz val="11"/>
          <color auto="1"/>
          <name val="Arial Narrow"/>
          <scheme val="none"/>
        </font>
        <numFmt numFmtId="13" formatCode="0%"/>
        <alignment vertical="center" readingOrder="0"/>
      </dxf>
    </rfmt>
  </rrc>
  <rrc rId="11197" sId="39" ref="A52:XFD52" action="deleteRow">
    <rfmt sheetId="39" xfDxf="1" sqref="A52:XFD52" start="0" length="0"/>
    <rfmt sheetId="39" sqref="A52" start="0" length="0">
      <dxf>
        <font>
          <sz val="11"/>
          <color theme="1"/>
          <name val="Arial Narrow"/>
          <scheme val="none"/>
        </font>
        <fill>
          <patternFill patternType="solid">
            <bgColor theme="0"/>
          </patternFill>
        </fill>
        <alignment vertical="center" readingOrder="0"/>
      </dxf>
    </rfmt>
    <rfmt sheetId="39" sqref="B52" start="0" length="0">
      <dxf>
        <font>
          <sz val="11"/>
          <color theme="1"/>
          <name val="Arial Narrow"/>
          <scheme val="none"/>
        </font>
        <fill>
          <patternFill patternType="solid">
            <bgColor theme="0"/>
          </patternFill>
        </fill>
        <alignment vertical="center" readingOrder="0"/>
      </dxf>
    </rfmt>
    <rfmt sheetId="39" sqref="C52" start="0" length="0">
      <dxf>
        <font>
          <sz val="11"/>
          <color auto="1"/>
          <name val="Arial Narrow"/>
          <scheme val="none"/>
        </font>
        <numFmt numFmtId="13" formatCode="0%"/>
        <fill>
          <patternFill patternType="solid">
            <bgColor theme="0"/>
          </patternFill>
        </fill>
        <alignment vertical="center" readingOrder="0"/>
      </dxf>
    </rfmt>
    <rfmt sheetId="39" sqref="D52" start="0" length="0">
      <dxf>
        <font>
          <sz val="11"/>
          <color auto="1"/>
          <name val="Arial Narrow"/>
          <scheme val="none"/>
        </font>
        <numFmt numFmtId="13" formatCode="0%"/>
        <alignment vertical="center" readingOrder="0"/>
      </dxf>
    </rfmt>
    <rfmt sheetId="39" sqref="E52" start="0" length="0">
      <dxf>
        <font>
          <sz val="11"/>
          <color auto="1"/>
          <name val="Arial Narrow"/>
          <scheme val="none"/>
        </font>
        <numFmt numFmtId="13" formatCode="0%"/>
        <alignment vertical="center" readingOrder="0"/>
      </dxf>
    </rfmt>
    <rfmt sheetId="39" sqref="F52" start="0" length="0">
      <dxf>
        <font>
          <sz val="11"/>
          <color auto="1"/>
          <name val="Arial Narrow"/>
          <scheme val="none"/>
        </font>
        <numFmt numFmtId="13" formatCode="0%"/>
        <alignment vertical="center" readingOrder="0"/>
      </dxf>
    </rfmt>
  </rrc>
  <rrc rId="11198" sId="39" ref="A33:XFD33" action="deleteRow">
    <rfmt sheetId="39" xfDxf="1" sqref="A33:XFD33" start="0" length="0"/>
    <rfmt sheetId="39" sqref="A33" start="0" length="0">
      <dxf>
        <font>
          <sz val="11"/>
          <color theme="1"/>
          <name val="Arial Narrow"/>
          <scheme val="none"/>
        </font>
        <fill>
          <patternFill patternType="solid">
            <bgColor theme="0"/>
          </patternFill>
        </fill>
        <alignment vertical="center" readingOrder="0"/>
      </dxf>
    </rfmt>
    <rfmt sheetId="39" sqref="B33" start="0" length="0">
      <dxf>
        <font>
          <sz val="11"/>
          <color theme="1"/>
          <name val="Arial Narrow"/>
          <scheme val="none"/>
        </font>
        <fill>
          <patternFill patternType="solid">
            <bgColor theme="0"/>
          </patternFill>
        </fill>
        <alignment vertical="center" readingOrder="0"/>
      </dxf>
    </rfmt>
    <rfmt sheetId="39" sqref="C33" start="0" length="0">
      <dxf>
        <font>
          <sz val="11"/>
          <color auto="1"/>
          <name val="Arial Narrow"/>
          <scheme val="none"/>
        </font>
        <fill>
          <patternFill patternType="solid">
            <bgColor theme="0"/>
          </patternFill>
        </fill>
        <alignment vertical="center" readingOrder="0"/>
      </dxf>
    </rfmt>
    <rfmt sheetId="39" sqref="D33" start="0" length="0">
      <dxf>
        <font>
          <sz val="11"/>
          <color auto="1"/>
          <name val="Arial Narrow"/>
          <scheme val="none"/>
        </font>
        <numFmt numFmtId="13" formatCode="0%"/>
        <alignment vertical="center" readingOrder="0"/>
      </dxf>
    </rfmt>
    <rfmt sheetId="39" sqref="E33" start="0" length="0">
      <dxf>
        <font>
          <sz val="11"/>
          <color auto="1"/>
          <name val="Arial Narrow"/>
          <scheme val="none"/>
        </font>
        <numFmt numFmtId="13" formatCode="0%"/>
        <alignment vertical="center" readingOrder="0"/>
      </dxf>
    </rfmt>
    <rfmt sheetId="39" sqref="F33" start="0" length="0">
      <dxf>
        <font>
          <sz val="11"/>
          <color auto="1"/>
          <name val="Arial Narrow"/>
          <scheme val="none"/>
        </font>
        <numFmt numFmtId="13" formatCode="0%"/>
        <alignment vertical="center" readingOrder="0"/>
      </dxf>
    </rfmt>
  </rrc>
  <rrc rId="11199" sId="39" ref="A28:XFD28" action="deleteRow">
    <rfmt sheetId="39" xfDxf="1" sqref="A28:XFD28" start="0" length="0"/>
    <rfmt sheetId="39" sqref="A28" start="0" length="0">
      <dxf>
        <font>
          <sz val="11"/>
          <color theme="1"/>
          <name val="Arial Narrow"/>
          <scheme val="none"/>
        </font>
        <fill>
          <patternFill patternType="solid">
            <bgColor theme="0"/>
          </patternFill>
        </fill>
        <alignment vertical="center" readingOrder="0"/>
      </dxf>
    </rfmt>
    <rfmt sheetId="39" sqref="B28" start="0" length="0">
      <dxf>
        <font>
          <sz val="11"/>
          <color theme="1"/>
          <name val="Arial Narrow"/>
          <scheme val="none"/>
        </font>
        <fill>
          <patternFill patternType="solid">
            <bgColor theme="0"/>
          </patternFill>
        </fill>
        <alignment vertical="center" readingOrder="0"/>
      </dxf>
    </rfmt>
    <rfmt sheetId="39" sqref="C28" start="0" length="0">
      <dxf>
        <font>
          <sz val="11"/>
          <color auto="1"/>
          <name val="Arial Narrow"/>
          <scheme val="none"/>
        </font>
        <fill>
          <patternFill patternType="solid">
            <bgColor theme="0"/>
          </patternFill>
        </fill>
        <alignment vertical="center" readingOrder="0"/>
      </dxf>
    </rfmt>
    <rfmt sheetId="39" sqref="D28" start="0" length="0">
      <dxf>
        <font>
          <sz val="11"/>
          <color auto="1"/>
          <name val="Arial Narrow"/>
          <scheme val="none"/>
        </font>
        <numFmt numFmtId="13" formatCode="0%"/>
        <alignment vertical="center" readingOrder="0"/>
      </dxf>
    </rfmt>
    <rfmt sheetId="39" sqref="E28" start="0" length="0">
      <dxf>
        <font>
          <sz val="11"/>
          <color auto="1"/>
          <name val="Arial Narrow"/>
          <scheme val="none"/>
        </font>
        <numFmt numFmtId="13" formatCode="0%"/>
        <alignment vertical="center" readingOrder="0"/>
      </dxf>
    </rfmt>
    <rfmt sheetId="39" sqref="F28" start="0" length="0">
      <dxf>
        <font>
          <sz val="11"/>
          <color auto="1"/>
          <name val="Arial Narrow"/>
          <scheme val="none"/>
        </font>
        <numFmt numFmtId="13" formatCode="0%"/>
        <alignment vertical="center" readingOrder="0"/>
      </dxf>
    </rfmt>
  </rrc>
  <rrc rId="11200" sId="39" ref="A22:XFD22" action="deleteRow">
    <rfmt sheetId="39" xfDxf="1" sqref="A22:XFD22" start="0" length="0"/>
    <rfmt sheetId="39" sqref="A22" start="0" length="0">
      <dxf>
        <font>
          <sz val="11"/>
          <color auto="1"/>
          <name val="Arial Narrow"/>
          <scheme val="none"/>
        </font>
        <numFmt numFmtId="13" formatCode="0%"/>
        <alignment vertical="center" readingOrder="0"/>
      </dxf>
    </rfmt>
    <rfmt sheetId="39" sqref="B22" start="0" length="0">
      <dxf>
        <font>
          <sz val="11"/>
          <color auto="1"/>
          <name val="Arial Narrow"/>
          <scheme val="none"/>
        </font>
        <numFmt numFmtId="13" formatCode="0%"/>
        <alignment vertical="center" readingOrder="0"/>
      </dxf>
    </rfmt>
    <rfmt sheetId="39" sqref="C22" start="0" length="0">
      <dxf>
        <font>
          <sz val="11"/>
          <color auto="1"/>
          <name val="Arial Narrow"/>
          <scheme val="none"/>
        </font>
        <numFmt numFmtId="13" formatCode="0%"/>
        <alignment vertical="center" readingOrder="0"/>
      </dxf>
    </rfmt>
    <rfmt sheetId="39" sqref="D22" start="0" length="0">
      <dxf>
        <font>
          <sz val="11"/>
          <color auto="1"/>
          <name val="Arial Narrow"/>
          <scheme val="none"/>
        </font>
        <numFmt numFmtId="13" formatCode="0%"/>
        <alignment vertical="center" readingOrder="0"/>
      </dxf>
    </rfmt>
    <rfmt sheetId="39" sqref="E22" start="0" length="0">
      <dxf>
        <font>
          <sz val="11"/>
          <color auto="1"/>
          <name val="Arial Narrow"/>
          <scheme val="none"/>
        </font>
        <numFmt numFmtId="13" formatCode="0%"/>
        <alignment vertical="center" readingOrder="0"/>
      </dxf>
    </rfmt>
    <rfmt sheetId="39" sqref="F22" start="0" length="0">
      <dxf>
        <font>
          <sz val="11"/>
          <color auto="1"/>
          <name val="Arial Narrow"/>
          <scheme val="none"/>
        </font>
        <numFmt numFmtId="13" formatCode="0%"/>
        <alignment vertical="center" readingOrder="0"/>
      </dxf>
    </rfmt>
  </rrc>
  <rrc rId="11201" sId="39" ref="A17:XFD17" action="deleteRow">
    <rfmt sheetId="39" xfDxf="1" sqref="A17:XFD17" start="0" length="0"/>
    <rfmt sheetId="39" sqref="A17" start="0" length="0">
      <dxf>
        <font>
          <sz val="11"/>
          <color auto="1"/>
          <name val="Arial Narrow"/>
          <scheme val="none"/>
        </font>
        <fill>
          <patternFill patternType="solid">
            <bgColor theme="0"/>
          </patternFill>
        </fill>
        <alignment vertical="center" readingOrder="0"/>
      </dxf>
    </rfmt>
    <rfmt sheetId="39" sqref="B17" start="0" length="0">
      <dxf>
        <font>
          <sz val="11"/>
          <color theme="1"/>
          <name val="Arial Narrow"/>
          <scheme val="none"/>
        </font>
        <fill>
          <patternFill patternType="solid">
            <bgColor theme="0"/>
          </patternFill>
        </fill>
        <alignment vertical="center" readingOrder="0"/>
      </dxf>
    </rfmt>
    <rfmt sheetId="39" sqref="C17" start="0" length="0">
      <dxf>
        <font>
          <sz val="11"/>
          <color auto="1"/>
          <name val="Arial Narrow"/>
          <scheme val="none"/>
        </font>
        <numFmt numFmtId="2" formatCode="0.00"/>
        <fill>
          <patternFill patternType="solid">
            <bgColor theme="0"/>
          </patternFill>
        </fill>
        <alignment horizontal="center" vertical="center" readingOrder="0"/>
      </dxf>
    </rfmt>
    <rfmt sheetId="39" sqref="D17" start="0" length="0">
      <dxf>
        <font>
          <sz val="11"/>
          <color auto="1"/>
          <name val="Arial Narrow"/>
          <scheme val="none"/>
        </font>
        <numFmt numFmtId="13" formatCode="0%"/>
        <alignment vertical="center" readingOrder="0"/>
      </dxf>
    </rfmt>
    <rfmt sheetId="39" sqref="E17" start="0" length="0">
      <dxf>
        <font>
          <sz val="11"/>
          <color auto="1"/>
          <name val="Arial Narrow"/>
          <scheme val="none"/>
        </font>
        <numFmt numFmtId="13" formatCode="0%"/>
        <alignment vertical="center" readingOrder="0"/>
      </dxf>
    </rfmt>
    <rfmt sheetId="39" sqref="F17" start="0" length="0">
      <dxf>
        <font>
          <sz val="11"/>
          <color auto="1"/>
          <name val="Arial Narrow"/>
          <scheme val="none"/>
        </font>
        <numFmt numFmtId="13" formatCode="0%"/>
        <alignment vertical="center" readingOrder="0"/>
      </dxf>
    </rfmt>
  </rrc>
  <rrc rId="11202" sId="39" ref="A3:XFD3" action="deleteRow">
    <rfmt sheetId="39" xfDxf="1" sqref="A3:XFD3" start="0" length="0"/>
  </rrc>
  <rfmt sheetId="39" sqref="B47" start="0" length="2147483647">
    <dxf>
      <font>
        <sz val="16"/>
      </font>
    </dxf>
  </rfmt>
  <rfmt sheetId="39" sqref="B55" start="0" length="2147483647">
    <dxf>
      <font>
        <sz val="16"/>
      </font>
    </dxf>
  </rfmt>
  <rcc rId="11203" sId="39"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6"/>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9" sqref="B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C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D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E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F1" start="0" length="0">
    <dxf>
      <font>
        <sz val="16"/>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9" sqref="A1:F1" start="0" length="2147483647">
    <dxf>
      <font>
        <sz val="20"/>
      </font>
    </dxf>
  </rfmt>
  <rrc rId="11204" sId="39" ref="A2:XFD2" action="deleteRow">
    <rfmt sheetId="39" xfDxf="1" sqref="A2:XFD2" start="0" length="0"/>
  </rrc>
  <rfmt sheetId="39" sqref="B29" start="0" length="2147483647">
    <dxf>
      <font>
        <sz val="14"/>
      </font>
    </dxf>
  </rfmt>
  <ris rId="11205" sheetId="40" name="[ПРАЙС ЦЕНТР-ТИМ 2019 обновленный.xlsx]Водосток LUX (обновленный)" sheetPosition="39"/>
  <rcc rId="11206" sId="40" odxf="1" dxf="1">
    <nc r="A4" t="inlineStr">
      <is>
        <t xml:space="preserve">Водосточная система ПВХ DÖCKE LUX.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0" sqref="B4" start="0" length="0">
    <dxf>
      <font>
        <b/>
        <sz val="11"/>
        <color theme="1"/>
        <name val="Arial Narrow"/>
        <scheme val="none"/>
      </font>
      <fill>
        <patternFill patternType="solid">
          <bgColor theme="0"/>
        </patternFill>
      </fill>
      <alignment vertical="center" readingOrder="0"/>
    </dxf>
  </rfmt>
  <rfmt sheetId="40" sqref="C4" start="0" length="0">
    <dxf>
      <font>
        <sz val="11"/>
        <color auto="1"/>
        <name val="Arial Narrow"/>
        <scheme val="none"/>
      </font>
      <fill>
        <patternFill patternType="solid">
          <bgColor theme="0"/>
        </patternFill>
      </fill>
      <alignment vertical="center" readingOrder="0"/>
    </dxf>
  </rfmt>
  <rfmt sheetId="40" sqref="D4" start="0" length="0">
    <dxf>
      <font>
        <b/>
        <sz val="11"/>
        <color auto="1"/>
        <name val="Arial Narrow"/>
        <scheme val="none"/>
      </font>
      <fill>
        <patternFill patternType="solid">
          <bgColor theme="0"/>
        </patternFill>
      </fill>
      <alignment horizontal="right" vertical="center" readingOrder="0"/>
    </dxf>
  </rfmt>
  <rfmt sheetId="40" sqref="E4" start="0" length="0">
    <dxf>
      <font>
        <b/>
        <sz val="11"/>
        <color auto="1"/>
        <name val="Arial Narrow"/>
        <scheme val="none"/>
      </font>
      <fill>
        <patternFill patternType="solid">
          <bgColor theme="0"/>
        </patternFill>
      </fill>
      <alignment horizontal="right" vertical="center" readingOrder="0"/>
    </dxf>
  </rfmt>
  <rfmt sheetId="40" sqref="F4" start="0" length="0">
    <dxf>
      <font>
        <b/>
        <sz val="11"/>
        <color auto="1"/>
        <name val="Arial Narrow"/>
        <scheme val="none"/>
      </font>
      <fill>
        <patternFill patternType="solid">
          <bgColor theme="0"/>
        </patternFill>
      </fill>
      <alignment horizontal="right" vertical="center" readingOrder="0"/>
    </dxf>
  </rfmt>
  <rfmt sheetId="40" sqref="A5" start="0" length="0">
    <dxf>
      <font>
        <sz val="11"/>
        <color theme="1"/>
        <name val="Arial Narrow"/>
        <scheme val="none"/>
      </font>
      <fill>
        <patternFill patternType="solid">
          <bgColor theme="0"/>
        </patternFill>
      </fill>
      <alignment vertical="center" readingOrder="0"/>
    </dxf>
  </rfmt>
  <rfmt sheetId="40" sqref="B5" start="0" length="0">
    <dxf>
      <font>
        <sz val="11"/>
        <color theme="1"/>
        <name val="Arial Narrow"/>
        <scheme val="none"/>
      </font>
      <fill>
        <patternFill patternType="solid">
          <bgColor theme="0"/>
        </patternFill>
      </fill>
      <alignment vertical="center" readingOrder="0"/>
    </dxf>
  </rfmt>
  <rfmt sheetId="40" sqref="C5" start="0" length="0">
    <dxf>
      <font>
        <sz val="11"/>
        <color auto="1"/>
        <name val="Arial Narrow"/>
        <scheme val="none"/>
      </font>
      <fill>
        <patternFill patternType="solid">
          <bgColor theme="0"/>
        </patternFill>
      </fill>
      <alignment vertical="center" readingOrder="0"/>
    </dxf>
  </rfmt>
  <rfmt sheetId="40" sqref="D5" start="0" length="0">
    <dxf>
      <font>
        <sz val="11"/>
        <color auto="1"/>
        <name val="Arial Narrow"/>
        <scheme val="none"/>
      </font>
      <fill>
        <patternFill patternType="solid">
          <bgColor theme="0"/>
        </patternFill>
      </fill>
      <alignment vertical="center" readingOrder="0"/>
    </dxf>
  </rfmt>
  <rfmt sheetId="40" sqref="E5" start="0" length="0">
    <dxf>
      <font>
        <sz val="11"/>
        <color auto="1"/>
        <name val="Arial Narrow"/>
        <scheme val="none"/>
      </font>
      <fill>
        <patternFill patternType="solid">
          <bgColor theme="0"/>
        </patternFill>
      </fill>
      <alignment vertical="center" readingOrder="0"/>
    </dxf>
  </rfmt>
  <rfmt sheetId="40" sqref="F5" start="0" length="0">
    <dxf>
      <font>
        <sz val="11"/>
        <color auto="1"/>
        <name val="Arial Narrow"/>
        <scheme val="none"/>
      </font>
      <fill>
        <patternFill patternType="solid">
          <bgColor theme="0"/>
        </patternFill>
      </fill>
      <alignment vertical="center" readingOrder="0"/>
    </dxf>
  </rfmt>
  <rfmt sheetId="40" sqref="A6" start="0" length="0">
    <dxf>
      <font>
        <sz val="11"/>
        <color theme="1"/>
        <name val="Arial Narrow"/>
        <scheme val="none"/>
      </font>
      <fill>
        <patternFill patternType="solid">
          <bgColor rgb="FF92D050"/>
        </patternFill>
      </fill>
      <alignment vertical="center" readingOrder="0"/>
    </dxf>
  </rfmt>
  <rfmt sheetId="40" sqref="B6" start="0" length="0">
    <dxf>
      <font>
        <sz val="11"/>
        <color theme="1"/>
        <name val="Arial Narrow"/>
        <scheme val="none"/>
      </font>
      <fill>
        <patternFill patternType="solid">
          <bgColor rgb="FF92D050"/>
        </patternFill>
      </fill>
      <alignment vertical="center" readingOrder="0"/>
    </dxf>
  </rfmt>
  <rfmt sheetId="40" sqref="C6" start="0" length="0">
    <dxf>
      <font>
        <sz val="11"/>
        <color auto="1"/>
        <name val="Arial Narrow"/>
        <scheme val="none"/>
      </font>
      <fill>
        <patternFill patternType="solid">
          <bgColor theme="0"/>
        </patternFill>
      </fill>
      <alignment vertical="center" readingOrder="0"/>
    </dxf>
  </rfmt>
  <rfmt sheetId="40" sqref="D6" start="0" length="0">
    <dxf>
      <font>
        <b/>
        <sz val="11"/>
        <color auto="1"/>
        <name val="Arial Narrow"/>
        <scheme val="none"/>
      </font>
      <fill>
        <patternFill patternType="solid">
          <bgColor theme="5" tint="0.39997558519241921"/>
        </patternFill>
      </fill>
      <alignment horizontal="center" vertical="center" readingOrder="0"/>
    </dxf>
  </rfmt>
  <rfmt sheetId="40" sqref="E6" start="0" length="0">
    <dxf>
      <font>
        <b/>
        <sz val="11"/>
        <color auto="1"/>
        <name val="Arial Narrow"/>
        <scheme val="none"/>
      </font>
      <fill>
        <patternFill patternType="solid">
          <bgColor rgb="FFFFFF00"/>
        </patternFill>
      </fill>
      <alignment horizontal="center" vertical="center" readingOrder="0"/>
    </dxf>
  </rfmt>
  <rfmt sheetId="40" sqref="F6" start="0" length="0">
    <dxf>
      <font>
        <b/>
        <sz val="11"/>
        <color auto="1"/>
        <name val="Arial Narrow"/>
        <scheme val="none"/>
      </font>
      <fill>
        <patternFill patternType="solid">
          <bgColor rgb="FFCCFFCC"/>
        </patternFill>
      </fill>
      <alignment horizontal="center" vertical="center" readingOrder="0"/>
    </dxf>
  </rfmt>
  <rcc rId="11207" sId="40"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20"/>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208" sId="40"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0" sqref="C7" start="0" length="0">
    <dxf>
      <font>
        <b/>
        <u/>
        <sz val="12"/>
        <color auto="1"/>
        <name val="Arial Narrow"/>
        <scheme val="none"/>
      </font>
      <fill>
        <patternFill patternType="solid">
          <bgColor theme="0"/>
        </patternFill>
      </fill>
      <alignment horizontal="center" vertical="center" wrapText="1" readingOrder="0"/>
    </dxf>
  </rfmt>
  <rcc rId="11209" sId="40"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210" sId="40"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211" sId="40"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0" sqref="A8" start="0" length="0">
    <dxf>
      <font>
        <sz val="11"/>
        <color auto="1"/>
        <name val="Arial Narrow"/>
        <scheme val="none"/>
      </font>
      <alignment vertical="center" readingOrder="0"/>
    </dxf>
  </rfmt>
  <rfmt sheetId="40" sqref="B8" start="0" length="0">
    <dxf>
      <font>
        <sz val="11"/>
        <color auto="1"/>
        <name val="Arial Narrow"/>
        <scheme val="none"/>
      </font>
      <alignment vertical="center" readingOrder="0"/>
    </dxf>
  </rfmt>
  <rfmt sheetId="40" sqref="C8" start="0" length="0">
    <dxf>
      <font>
        <sz val="11"/>
        <color auto="1"/>
        <name val="Arial Narrow"/>
        <scheme val="none"/>
      </font>
      <numFmt numFmtId="2" formatCode="0.00"/>
      <fill>
        <patternFill patternType="solid">
          <bgColor theme="0"/>
        </patternFill>
      </fill>
      <alignment horizontal="center" vertical="center" readingOrder="0"/>
    </dxf>
  </rfmt>
  <rfmt sheetId="40" sqref="D8" start="0" length="0">
    <dxf>
      <font>
        <sz val="11"/>
        <color auto="1"/>
        <name val="Arial Narrow"/>
        <scheme val="none"/>
      </font>
      <numFmt numFmtId="167" formatCode="#,##0.00&quot;р.&quot;"/>
      <fill>
        <patternFill patternType="solid">
          <bgColor theme="0"/>
        </patternFill>
      </fill>
      <alignment vertical="center" readingOrder="0"/>
    </dxf>
  </rfmt>
  <rfmt sheetId="40" sqref="E8" start="0" length="0">
    <dxf>
      <font>
        <sz val="11"/>
        <color auto="1"/>
        <name val="Arial Narrow"/>
        <scheme val="none"/>
      </font>
      <numFmt numFmtId="167" formatCode="#,##0.00&quot;р.&quot;"/>
      <fill>
        <patternFill patternType="solid">
          <bgColor theme="0"/>
        </patternFill>
      </fill>
      <alignment vertical="center" readingOrder="0"/>
    </dxf>
  </rfmt>
  <rfmt sheetId="40" sqref="F8" start="0" length="0">
    <dxf>
      <font>
        <sz val="11"/>
        <color auto="1"/>
        <name val="Arial Narrow"/>
        <scheme val="none"/>
      </font>
      <numFmt numFmtId="167" formatCode="#,##0.00&quot;р.&quot;"/>
      <fill>
        <patternFill patternType="solid">
          <bgColor theme="0"/>
        </patternFill>
      </fill>
      <alignment vertical="center" readingOrder="0"/>
    </dxf>
  </rfmt>
  <rcc rId="11212" sId="40" odxf="1" dxf="1">
    <nc r="A9" t="inlineStr">
      <is>
        <t>Водосточная система Döcke LUX</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213" sId="40"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0" sqref="C9" start="0" length="0">
    <dxf>
      <font>
        <b/>
        <sz val="11"/>
        <color auto="1"/>
        <name val="Arial Narrow"/>
        <scheme val="none"/>
      </font>
      <numFmt numFmtId="2" formatCode="0.00"/>
      <fill>
        <patternFill patternType="solid">
          <bgColor theme="0"/>
        </patternFill>
      </fill>
      <alignment horizontal="center" vertical="center" readingOrder="0"/>
    </dxf>
  </rfmt>
  <rfmt sheetId="40"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0"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0"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1214" sId="40" odxf="1" dxf="1">
    <nc r="A10" t="inlineStr">
      <is>
        <t>Желоб водосточный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15" sId="40" odxf="1" dxf="1">
    <nc r="B10">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0" start="0" length="0">
    <dxf>
      <font>
        <sz val="6"/>
        <color auto="1"/>
        <name val="Arial Narrow"/>
        <scheme val="none"/>
      </font>
      <numFmt numFmtId="2" formatCode="0.00"/>
      <fill>
        <patternFill patternType="solid">
          <bgColor theme="0"/>
        </patternFill>
      </fill>
      <alignment horizontal="center" vertical="center" readingOrder="0"/>
    </dxf>
  </rfmt>
  <rcc rId="11216" sId="40" odxf="1" dxf="1">
    <nc r="D10" t="inlineStr">
      <is>
        <t>461,69р.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17" sId="40" odxf="1" dxf="1">
    <nc r="E10" t="inlineStr">
      <is>
        <t>639,26р.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18" sId="40" odxf="1" dxf="1">
    <nc r="F10" t="inlineStr">
      <is>
        <t>710,29р.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19" sId="40" odxf="1" dxf="1">
    <nc r="A11" t="inlineStr">
      <is>
        <t>Желоб водосточный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20" sId="40" odxf="1" dxf="1">
    <nc r="B11">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1" start="0" length="0">
    <dxf>
      <font>
        <sz val="6"/>
        <color auto="1"/>
        <name val="Arial Narrow"/>
        <scheme val="none"/>
      </font>
      <numFmt numFmtId="2" formatCode="0.00"/>
      <fill>
        <patternFill patternType="solid">
          <bgColor theme="0"/>
        </patternFill>
      </fill>
      <alignment horizontal="center" vertical="center" readingOrder="0"/>
    </dxf>
  </rfmt>
  <rcc rId="11221" sId="40" odxf="1" dxf="1">
    <nc r="D11" t="inlineStr">
      <is>
        <t>484,74р.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2" sId="40" odxf="1" dxf="1">
    <nc r="E11" t="inlineStr">
      <is>
        <t>671,18р.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3" sId="40" odxf="1" dxf="1">
    <nc r="F11" t="inlineStr">
      <is>
        <t>745,76р.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24" sId="40" odxf="1" dxf="1">
    <nc r="A12" t="inlineStr">
      <is>
        <t>Труба водосточная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25" sId="40" odxf="1" dxf="1">
    <nc r="B12">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2" start="0" length="0">
    <dxf>
      <font>
        <sz val="6"/>
        <color auto="1"/>
        <name val="Arial Narrow"/>
        <scheme val="none"/>
      </font>
      <numFmt numFmtId="2" formatCode="0.00"/>
      <fill>
        <patternFill patternType="solid">
          <bgColor theme="0"/>
        </patternFill>
      </fill>
      <alignment horizontal="center" vertical="center" readingOrder="0"/>
    </dxf>
  </rfmt>
  <rcc rId="11226" sId="40" odxf="1" dxf="1">
    <nc r="D12" t="inlineStr">
      <is>
        <t>548,22р.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7" sId="40" odxf="1" dxf="1">
    <nc r="E12" t="inlineStr">
      <is>
        <t>759,07р.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8" sId="40" odxf="1" dxf="1">
    <nc r="F12" t="inlineStr">
      <is>
        <t>843,41р.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29" sId="40" odxf="1" dxf="1">
    <nc r="A13" t="inlineStr">
      <is>
        <t>Труба водосточная 3000 мм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30" sId="40" odxf="1" dxf="1">
    <nc r="B13">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3" start="0" length="0">
    <dxf>
      <font>
        <sz val="6"/>
        <color auto="1"/>
        <name val="Arial Narrow"/>
        <scheme val="none"/>
      </font>
      <numFmt numFmtId="2" formatCode="0.00"/>
      <fill>
        <patternFill patternType="solid">
          <bgColor theme="0"/>
        </patternFill>
      </fill>
      <alignment horizontal="center" vertical="center" readingOrder="0"/>
    </dxf>
  </rfmt>
  <rcc rId="11231" sId="40" odxf="1" dxf="1">
    <nc r="D13" t="inlineStr">
      <is>
        <t>575,61р.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2" sId="40" odxf="1" dxf="1">
    <nc r="E13" t="inlineStr">
      <is>
        <t>797,00р.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3" sId="40" odxf="1" dxf="1">
    <nc r="F13" t="inlineStr">
      <is>
        <t>885,55р.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34" sId="40" odxf="1" dxf="1">
    <nc r="A14" t="inlineStr">
      <is>
        <t>Труба водосточная 1000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35" sId="40" odxf="1" dxf="1">
    <nc r="B14">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4" start="0" length="0">
    <dxf>
      <font>
        <sz val="6"/>
        <color auto="1"/>
        <name val="Arial Narrow"/>
        <scheme val="none"/>
      </font>
      <numFmt numFmtId="2" formatCode="0.00"/>
      <fill>
        <patternFill patternType="solid">
          <bgColor theme="0"/>
        </patternFill>
      </fill>
      <alignment horizontal="center" vertical="center" readingOrder="0"/>
    </dxf>
  </rfmt>
  <rcc rId="11236" sId="40" odxf="1" dxf="1">
    <nc r="D14" t="inlineStr">
      <is>
        <t>210,15р.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7" sId="40" odxf="1" dxf="1">
    <nc r="E14" t="inlineStr">
      <is>
        <t>290,98р.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8" sId="40" odxf="1" dxf="1">
    <nc r="F14" t="inlineStr">
      <is>
        <t>323,31р.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39" sId="40" odxf="1" dxf="1">
    <nc r="A15" t="inlineStr">
      <is>
        <t>Труба водосточная 1000 мм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40" sId="40" odxf="1" dxf="1">
    <nc r="B15">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5" start="0" length="0">
    <dxf>
      <font>
        <sz val="6"/>
        <color auto="1"/>
        <name val="Arial Narrow"/>
        <scheme val="none"/>
      </font>
      <numFmt numFmtId="2" formatCode="0.00"/>
      <fill>
        <patternFill patternType="solid">
          <bgColor theme="0"/>
        </patternFill>
      </fill>
      <alignment horizontal="center" vertical="center" readingOrder="0"/>
    </dxf>
  </rfmt>
  <rcc rId="11241" sId="40" odxf="1" dxf="1">
    <nc r="D15" t="inlineStr">
      <is>
        <t>220,66р.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2" sId="40" odxf="1" dxf="1">
    <nc r="E15" t="inlineStr">
      <is>
        <t>305,52р.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3" sId="40" odxf="1" dxf="1">
    <nc r="F15" t="inlineStr">
      <is>
        <t>339,47р.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44" sId="40" odxf="1" dxf="1">
    <nc r="A16" t="inlineStr">
      <is>
        <t>Воронка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45" sId="40" odxf="1" dxf="1">
    <nc r="B16">
      <v>8</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6" start="0" length="0">
    <dxf>
      <font>
        <sz val="6"/>
        <color auto="1"/>
        <name val="Arial Narrow"/>
        <scheme val="none"/>
      </font>
      <numFmt numFmtId="2" formatCode="0.00"/>
      <fill>
        <patternFill patternType="solid">
          <bgColor theme="0"/>
        </patternFill>
      </fill>
      <alignment horizontal="center" vertical="center" readingOrder="0"/>
    </dxf>
  </rfmt>
  <rcc rId="11246" sId="40" odxf="1" dxf="1">
    <nc r="D16" t="inlineStr">
      <is>
        <t>330,09р.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7" sId="40" odxf="1" dxf="1">
    <nc r="E16" t="inlineStr">
      <is>
        <t>457,05р.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8" sId="40" odxf="1" dxf="1">
    <nc r="F16" t="inlineStr">
      <is>
        <t>507,84р.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49" sId="40" odxf="1" dxf="1">
    <nc r="A17" t="inlineStr">
      <is>
        <t>Воронка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50" sId="40" odxf="1" dxf="1">
    <nc r="B17">
      <v>8</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7" start="0" length="0">
    <dxf>
      <font>
        <sz val="6"/>
        <color auto="1"/>
        <name val="Arial Narrow"/>
        <scheme val="none"/>
      </font>
      <numFmt numFmtId="2" formatCode="0.00"/>
      <fill>
        <patternFill patternType="solid">
          <bgColor theme="0"/>
        </patternFill>
      </fill>
      <alignment horizontal="center" vertical="center" readingOrder="0"/>
    </dxf>
  </rfmt>
  <rcc rId="11251" sId="40" odxf="1" dxf="1">
    <nc r="D17" t="inlineStr">
      <is>
        <t>346,60р.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2" sId="40" odxf="1" dxf="1">
    <nc r="E17" t="inlineStr">
      <is>
        <t>479,90р.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3" sId="40" odxf="1" dxf="1">
    <nc r="F17" t="inlineStr">
      <is>
        <t>533,22р.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54" sId="40" odxf="1" dxf="1">
    <nc r="A18" t="inlineStr">
      <is>
        <t>Соединитель желобов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55" sId="40" odxf="1" dxf="1">
    <nc r="B18">
      <v>30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8" start="0" length="0">
    <dxf>
      <font>
        <sz val="6"/>
        <color auto="1"/>
        <name val="Arial Narrow"/>
        <scheme val="none"/>
      </font>
      <numFmt numFmtId="2" formatCode="0.00"/>
      <fill>
        <patternFill patternType="solid">
          <bgColor theme="0"/>
        </patternFill>
      </fill>
      <alignment horizontal="center" vertical="center" readingOrder="0"/>
    </dxf>
  </rfmt>
  <rcc rId="11256" sId="40" odxf="1" dxf="1">
    <nc r="D18" t="inlineStr">
      <is>
        <t>126,95р.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7" sId="40" odxf="1" dxf="1">
    <nc r="E18" t="inlineStr">
      <is>
        <t>175,78р.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8" sId="40" odxf="1" dxf="1">
    <nc r="F18" t="inlineStr">
      <is>
        <t>195,31р.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59" sId="40" odxf="1" dxf="1">
    <nc r="A19" t="inlineStr">
      <is>
        <t>Соединитель желобов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60" sId="40" odxf="1" dxf="1">
    <nc r="B19">
      <v>30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9" start="0" length="0">
    <dxf>
      <font>
        <sz val="6"/>
        <color auto="1"/>
        <name val="Arial Narrow"/>
        <scheme val="none"/>
      </font>
      <numFmt numFmtId="2" formatCode="0.00"/>
      <fill>
        <patternFill patternType="solid">
          <bgColor theme="0"/>
        </patternFill>
      </fill>
      <alignment horizontal="center" vertical="center" readingOrder="0"/>
    </dxf>
  </rfmt>
  <rcc rId="11261" sId="40" odxf="1" dxf="1">
    <nc r="D19" t="inlineStr">
      <is>
        <t>133,36р.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2" sId="40" odxf="1" dxf="1">
    <nc r="E19" t="inlineStr">
      <is>
        <t>184,65р.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3" sId="40" odxf="1" dxf="1">
    <nc r="F19" t="inlineStr">
      <is>
        <t>205,16р.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64" sId="40" odxf="1" dxf="1">
    <nc r="A20" t="inlineStr">
      <is>
        <t>Угловой элемент желоба 90°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65" sId="40" odxf="1" dxf="1">
    <nc r="B20">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0" start="0" length="0">
    <dxf>
      <font>
        <sz val="6"/>
        <color auto="1"/>
        <name val="Arial Narrow"/>
        <scheme val="none"/>
      </font>
      <numFmt numFmtId="2" formatCode="0.00"/>
      <fill>
        <patternFill patternType="solid">
          <bgColor theme="0"/>
        </patternFill>
      </fill>
      <alignment horizontal="center" vertical="center" readingOrder="0"/>
    </dxf>
  </rfmt>
  <rcc rId="11266" sId="40" odxf="1" dxf="1">
    <nc r="D20" t="inlineStr">
      <is>
        <t>230,83р.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7" sId="40" odxf="1" dxf="1">
    <nc r="E20" t="inlineStr">
      <is>
        <t>319,61р.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8" sId="40" odxf="1" dxf="1">
    <nc r="F20" t="inlineStr">
      <is>
        <t>355,12р.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69" sId="40" odxf="1" dxf="1">
    <nc r="A21" t="inlineStr">
      <is>
        <t>Угловой элемент желоба 90°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70" sId="40" odxf="1" dxf="1">
    <nc r="B21">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1" start="0" length="0">
    <dxf>
      <font>
        <sz val="6"/>
        <color auto="1"/>
        <name val="Arial Narrow"/>
        <scheme val="none"/>
      </font>
      <numFmt numFmtId="2" formatCode="0.00"/>
      <fill>
        <patternFill patternType="solid">
          <bgColor theme="0"/>
        </patternFill>
      </fill>
      <alignment horizontal="center" vertical="center" readingOrder="0"/>
    </dxf>
  </rfmt>
  <rcc rId="11271" sId="40" odxf="1" dxf="1">
    <nc r="D21" t="inlineStr">
      <is>
        <t>242,34р.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2" sId="40" odxf="1" dxf="1">
    <nc r="E21" t="inlineStr">
      <is>
        <t>335,55р.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3" sId="40" odxf="1" dxf="1">
    <nc r="F21" t="inlineStr">
      <is>
        <t>372,84р.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74" sId="40" odxf="1" dxf="1">
    <nc r="A22" t="inlineStr">
      <is>
        <t>Угловой элемент желоба 135°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75" sId="40" odxf="1" dxf="1">
    <nc r="B22">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2" start="0" length="0">
    <dxf>
      <font>
        <sz val="6"/>
        <color auto="1"/>
        <name val="Arial Narrow"/>
        <scheme val="none"/>
      </font>
      <numFmt numFmtId="2" formatCode="0.00"/>
      <fill>
        <patternFill patternType="solid">
          <bgColor theme="0"/>
        </patternFill>
      </fill>
      <alignment horizontal="center" vertical="center" readingOrder="0"/>
    </dxf>
  </rfmt>
  <rcc rId="11276" sId="40" odxf="1" dxf="1">
    <nc r="D22" t="inlineStr">
      <is>
        <t>649,20р.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7" sId="40" odxf="1" dxf="1">
    <nc r="E22" t="inlineStr">
      <is>
        <t>898,90р.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8" sId="40" odxf="1" dxf="1">
    <nc r="F22" t="inlineStr">
      <is>
        <t>998,78р.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79" sId="40" odxf="1" dxf="1">
    <nc r="A23" t="inlineStr">
      <is>
        <t>Угловой элемент желоба 135°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80" sId="40" odxf="1" dxf="1">
    <nc r="B23">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3" start="0" length="0">
    <dxf>
      <font>
        <sz val="6"/>
        <color auto="1"/>
        <name val="Arial Narrow"/>
        <scheme val="none"/>
      </font>
      <numFmt numFmtId="2" formatCode="0.00"/>
      <fill>
        <patternFill patternType="solid">
          <bgColor theme="0"/>
        </patternFill>
      </fill>
      <alignment horizontal="center" vertical="center" readingOrder="0"/>
    </dxf>
  </rfmt>
  <rcc rId="11281" sId="40" odxf="1" dxf="1">
    <nc r="D23" t="inlineStr">
      <is>
        <t>681,68р.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2" sId="40" odxf="1" dxf="1">
    <nc r="E23" t="inlineStr">
      <is>
        <t>943,86р.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3" sId="40" odxf="1" dxf="1">
    <nc r="F23" t="inlineStr">
      <is>
        <t>1 048,73р.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84" sId="40" odxf="1" dxf="1">
    <nc r="A24" t="inlineStr">
      <is>
        <t>Кронштейн желоба ПВХ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85" sId="40" odxf="1" dxf="1">
    <nc r="B24">
      <v>60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4" start="0" length="0">
    <dxf>
      <font>
        <sz val="6"/>
        <color auto="1"/>
        <name val="Arial Narrow"/>
        <scheme val="none"/>
      </font>
      <numFmt numFmtId="2" formatCode="0.00"/>
      <fill>
        <patternFill patternType="solid">
          <bgColor theme="0"/>
        </patternFill>
      </fill>
      <alignment horizontal="center" vertical="center" readingOrder="0"/>
    </dxf>
  </rfmt>
  <rcc rId="11286" sId="40" odxf="1" dxf="1">
    <nc r="D24" t="inlineStr">
      <is>
        <t>58,26р.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7" sId="40" odxf="1" dxf="1">
    <nc r="E24" t="inlineStr">
      <is>
        <t>80,67р.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8" sId="40" odxf="1" dxf="1">
    <nc r="F24" t="inlineStr">
      <is>
        <t>89,63р.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89" sId="40" odxf="1" dxf="1">
    <nc r="A25" t="inlineStr">
      <is>
        <t>Кронштейн желоба ПВХ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90" sId="40" odxf="1" dxf="1">
    <nc r="B25">
      <v>60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5" start="0" length="0">
    <dxf>
      <font>
        <sz val="6"/>
        <color auto="1"/>
        <name val="Arial Narrow"/>
        <scheme val="none"/>
      </font>
      <numFmt numFmtId="2" formatCode="0.00"/>
      <fill>
        <patternFill patternType="solid">
          <bgColor theme="0"/>
        </patternFill>
      </fill>
      <alignment horizontal="center" vertical="center" readingOrder="0"/>
    </dxf>
  </rfmt>
  <rcc rId="11291" sId="40" odxf="1" dxf="1">
    <nc r="D25" t="inlineStr">
      <is>
        <t>60,58р.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2" sId="40" odxf="1" dxf="1">
    <nc r="E25" t="inlineStr">
      <is>
        <t>83,88р.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3" sId="40" odxf="1" dxf="1">
    <nc r="F25" t="inlineStr">
      <is>
        <t>93,20р.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94" sId="40" odxf="1" dxf="1">
    <nc r="A26" t="inlineStr">
      <is>
        <t>Кронштейн желоба металлический 300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295" sId="40" odxf="1" dxf="1">
    <nc r="B26">
      <v>30</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40" sqref="C26" start="0" length="0">
    <dxf>
      <font>
        <sz val="6"/>
        <color auto="1"/>
        <name val="Arial Narrow"/>
        <scheme val="none"/>
      </font>
      <numFmt numFmtId="2" formatCode="0.00"/>
      <fill>
        <patternFill patternType="solid">
          <bgColor theme="0"/>
        </patternFill>
      </fill>
      <alignment horizontal="center" vertical="center" readingOrder="0"/>
    </dxf>
  </rfmt>
  <rcc rId="11296" sId="40" odxf="1" dxf="1">
    <nc r="D26" t="inlineStr">
      <is>
        <t>210,53р.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7" sId="40" odxf="1" dxf="1">
    <nc r="E26" t="inlineStr">
      <is>
        <t>291,51р.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8" sId="40" odxf="1" dxf="1">
    <nc r="F26" t="inlineStr">
      <is>
        <t>323,90р.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99" sId="40" odxf="1" dxf="1">
    <nc r="A27" t="inlineStr">
      <is>
        <t>Кронштейн желоба металлический 300 мм Шоколад,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00" sId="40" odxf="1" dxf="1">
    <nc r="B27">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27" start="0" length="0">
    <dxf>
      <font>
        <sz val="6"/>
        <color auto="1"/>
        <name val="Arial Narrow"/>
        <scheme val="none"/>
      </font>
      <numFmt numFmtId="2" formatCode="0.00"/>
      <fill>
        <patternFill patternType="solid">
          <bgColor theme="0"/>
        </patternFill>
      </fill>
      <alignment horizontal="center" vertical="center" readingOrder="0"/>
    </dxf>
  </rfmt>
  <rcc rId="11301" sId="40" odxf="1" dxf="1">
    <nc r="D27" t="inlineStr">
      <is>
        <t>210,53р.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2" sId="40" odxf="1" dxf="1">
    <nc r="E27" t="inlineStr">
      <is>
        <t>291,51р.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3" sId="40" odxf="1" dxf="1">
    <nc r="F27" t="inlineStr">
      <is>
        <t>323,90р.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04" sId="40" odxf="1" dxf="1">
    <nc r="A28" t="inlineStr">
      <is>
        <t xml:space="preserve"> Заглушка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05" sId="40" odxf="1" dxf="1">
    <nc r="B28">
      <v>66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28" start="0" length="0">
    <dxf>
      <font>
        <sz val="6"/>
        <color auto="1"/>
        <name val="Arial Narrow"/>
        <scheme val="none"/>
      </font>
      <numFmt numFmtId="2" formatCode="0.00"/>
      <fill>
        <patternFill patternType="solid">
          <bgColor theme="0"/>
        </patternFill>
      </fill>
      <alignment horizontal="center" vertical="center" readingOrder="0"/>
    </dxf>
  </rfmt>
  <rcc rId="11306" sId="40" odxf="1" dxf="1">
    <nc r="D28" t="inlineStr">
      <is>
        <t>75,02р.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7" sId="40" odxf="1" dxf="1">
    <nc r="E28" t="inlineStr">
      <is>
        <t>103,87р.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8" sId="40" odxf="1" dxf="1">
    <nc r="F28" t="inlineStr">
      <is>
        <t>115,41р.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09" sId="40" odxf="1" dxf="1">
    <nc r="A29" t="inlineStr">
      <is>
        <t>Заглушка желоба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10" sId="40" odxf="1" dxf="1">
    <nc r="B29">
      <v>66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29" start="0" length="0">
    <dxf>
      <font>
        <sz val="6"/>
        <color auto="1"/>
        <name val="Arial Narrow"/>
        <scheme val="none"/>
      </font>
      <numFmt numFmtId="2" formatCode="0.00"/>
      <fill>
        <patternFill patternType="solid">
          <bgColor theme="0"/>
        </patternFill>
      </fill>
      <alignment horizontal="center" vertical="center" readingOrder="0"/>
    </dxf>
  </rfmt>
  <rcc rId="11311" sId="40" odxf="1" dxf="1">
    <nc r="D29" t="inlineStr">
      <is>
        <t>78,78р.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2" sId="40" odxf="1" dxf="1">
    <nc r="E29" t="inlineStr">
      <is>
        <t>109,08р.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3" sId="40" odxf="1" dxf="1">
    <nc r="F29" t="inlineStr">
      <is>
        <t>121,20р.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14" sId="40" odxf="1" dxf="1">
    <nc r="A30" t="inlineStr">
      <is>
        <t>Муфта соединительная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15" sId="40" odxf="1" dxf="1">
    <nc r="B30">
      <v>33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0" start="0" length="0">
    <dxf>
      <font>
        <sz val="6"/>
        <color auto="1"/>
        <name val="Arial Narrow"/>
        <scheme val="none"/>
      </font>
      <numFmt numFmtId="2" formatCode="0.00"/>
      <fill>
        <patternFill patternType="solid">
          <bgColor theme="0"/>
        </patternFill>
      </fill>
      <alignment horizontal="center" vertical="center" readingOrder="0"/>
    </dxf>
  </rfmt>
  <rcc rId="11316" sId="40" odxf="1" dxf="1">
    <nc r="D30" t="inlineStr">
      <is>
        <t>110,82р.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7" sId="40" odxf="1" dxf="1">
    <nc r="E30" t="inlineStr">
      <is>
        <t>153,44р.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8" sId="40" odxf="1" dxf="1">
    <nc r="F30" t="inlineStr">
      <is>
        <t>170,49р.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19" sId="40" odxf="1" dxf="1">
    <nc r="A31" t="inlineStr">
      <is>
        <t>Муфта соединительная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20" sId="40" odxf="1" dxf="1">
    <nc r="B31">
      <v>33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1" start="0" length="0">
    <dxf>
      <font>
        <sz val="6"/>
        <color auto="1"/>
        <name val="Arial Narrow"/>
        <scheme val="none"/>
      </font>
      <numFmt numFmtId="2" formatCode="0.00"/>
      <fill>
        <patternFill patternType="solid">
          <bgColor theme="0"/>
        </patternFill>
      </fill>
      <alignment horizontal="center" vertical="center" readingOrder="0"/>
    </dxf>
  </rfmt>
  <rcc rId="11321" sId="40" odxf="1" dxf="1">
    <nc r="D31" t="inlineStr">
      <is>
        <t>116,34р.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2" sId="40" odxf="1" dxf="1">
    <nc r="E31" t="inlineStr">
      <is>
        <t>161,08р.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3" sId="40" odxf="1" dxf="1">
    <nc r="F31" t="inlineStr">
      <is>
        <t>178,98р.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24" sId="40" odxf="1" dxf="1">
    <nc r="A32" t="inlineStr">
      <is>
        <t>Колено 45°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25" sId="40" odxf="1" dxf="1">
    <nc r="B32">
      <v>14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2" start="0" length="0">
    <dxf>
      <font>
        <sz val="6"/>
        <color auto="1"/>
        <name val="Arial Narrow"/>
        <scheme val="none"/>
      </font>
      <numFmt numFmtId="2" formatCode="0.00"/>
      <fill>
        <patternFill patternType="solid">
          <bgColor theme="0"/>
        </patternFill>
      </fill>
      <alignment horizontal="center" vertical="center" readingOrder="0"/>
    </dxf>
  </rfmt>
  <rcc rId="11326" sId="40" odxf="1" dxf="1">
    <nc r="D32" t="inlineStr">
      <is>
        <t>178,88р.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7" sId="40" odxf="1" dxf="1">
    <nc r="E32" t="inlineStr">
      <is>
        <t>247,68р.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8" sId="40" odxf="1" dxf="1">
    <nc r="F32" t="inlineStr">
      <is>
        <t>275,20р.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29" sId="40" odxf="1" dxf="1">
    <nc r="A33" t="inlineStr">
      <is>
        <t>Колено 45°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30" sId="40" odxf="1" dxf="1">
    <nc r="B33">
      <v>14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3" start="0" length="0">
    <dxf>
      <font>
        <sz val="6"/>
        <color auto="1"/>
        <name val="Arial Narrow"/>
        <scheme val="none"/>
      </font>
      <numFmt numFmtId="2" formatCode="0.00"/>
      <fill>
        <patternFill patternType="solid">
          <bgColor theme="0"/>
        </patternFill>
      </fill>
      <alignment horizontal="center" vertical="center" readingOrder="0"/>
    </dxf>
  </rfmt>
  <rcc rId="11331" sId="40" odxf="1" dxf="1">
    <nc r="D33" t="inlineStr">
      <is>
        <t>187,84р.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2" sId="40" odxf="1" dxf="1">
    <nc r="E33" t="inlineStr">
      <is>
        <t>260,08р.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3" sId="40" odxf="1" dxf="1">
    <nc r="F33" t="inlineStr">
      <is>
        <t>288,98р.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34" sId="40" odxf="1" dxf="1">
    <nc r="A34" t="inlineStr">
      <is>
        <t>Колено 72°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35" sId="40" odxf="1" dxf="1">
    <nc r="B34">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4" start="0" length="0">
    <dxf>
      <font>
        <sz val="6"/>
        <color auto="1"/>
        <name val="Arial Narrow"/>
        <scheme val="none"/>
      </font>
      <numFmt numFmtId="2" formatCode="0.00"/>
      <fill>
        <patternFill patternType="solid">
          <bgColor theme="0"/>
        </patternFill>
      </fill>
      <alignment horizontal="center" vertical="center" readingOrder="0"/>
    </dxf>
  </rfmt>
  <rcc rId="11336" sId="40" odxf="1" dxf="1">
    <nc r="D34" t="inlineStr">
      <is>
        <t>178,88р.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7" sId="40" odxf="1" dxf="1">
    <nc r="E34" t="inlineStr">
      <is>
        <t>247,68р.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8" sId="40" odxf="1" dxf="1">
    <nc r="F34" t="inlineStr">
      <is>
        <t>275,20р.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39" sId="40" odxf="1" dxf="1">
    <nc r="A35" t="inlineStr">
      <is>
        <t>Колено 72°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40" sId="40" odxf="1" dxf="1">
    <nc r="B35">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5" start="0" length="0">
    <dxf>
      <font>
        <sz val="6"/>
        <color auto="1"/>
        <name val="Arial Narrow"/>
        <scheme val="none"/>
      </font>
      <numFmt numFmtId="2" formatCode="0.00"/>
      <fill>
        <patternFill patternType="solid">
          <bgColor theme="0"/>
        </patternFill>
      </fill>
      <alignment horizontal="center" vertical="center" readingOrder="0"/>
    </dxf>
  </rfmt>
  <rcc rId="11341" sId="40" odxf="1" dxf="1">
    <nc r="D35" t="inlineStr">
      <is>
        <t>187,84р.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2" sId="40" odxf="1" dxf="1">
    <nc r="E35" t="inlineStr">
      <is>
        <t>260,08р.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3" sId="40" odxf="1" dxf="1">
    <nc r="F35" t="inlineStr">
      <is>
        <t>288,98р.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44" sId="40" odxf="1" dxf="1">
    <nc r="A36" t="inlineStr">
      <is>
        <t>Хомут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45" sId="40" odxf="1" dxf="1">
    <nc r="B36">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6" start="0" length="0">
    <dxf>
      <font>
        <sz val="6"/>
        <color auto="1"/>
        <name val="Arial Narrow"/>
        <scheme val="none"/>
      </font>
      <numFmt numFmtId="2" formatCode="0.00"/>
      <fill>
        <patternFill patternType="solid">
          <bgColor theme="0"/>
        </patternFill>
      </fill>
      <alignment horizontal="center" vertical="center" readingOrder="0"/>
    </dxf>
  </rfmt>
  <rcc rId="11346" sId="40" odxf="1" dxf="1">
    <nc r="D36" t="inlineStr">
      <is>
        <t>76,93р.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7" sId="40" odxf="1" dxf="1">
    <nc r="E36" t="inlineStr">
      <is>
        <t>106,51р.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8" sId="40" odxf="1" dxf="1">
    <nc r="F36" t="inlineStr">
      <is>
        <t>118,35р.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49" sId="40" odxf="1" dxf="1">
    <nc r="A37" t="inlineStr">
      <is>
        <t>Хомут универсальный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50" sId="40" odxf="1" dxf="1">
    <nc r="B37">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7" start="0" length="0">
    <dxf>
      <font>
        <sz val="6"/>
        <color auto="1"/>
        <name val="Arial Narrow"/>
        <scheme val="none"/>
      </font>
      <numFmt numFmtId="2" formatCode="0.00"/>
      <fill>
        <patternFill patternType="solid">
          <bgColor theme="0"/>
        </patternFill>
      </fill>
      <alignment horizontal="center" vertical="center" readingOrder="0"/>
    </dxf>
  </rfmt>
  <rcc rId="11351" sId="40" odxf="1" dxf="1">
    <nc r="D37" t="inlineStr">
      <is>
        <t>80,77р.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2" sId="40" odxf="1" dxf="1">
    <nc r="E37" t="inlineStr">
      <is>
        <t>111,84р.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3" sId="40" odxf="1" dxf="1">
    <nc r="F37" t="inlineStr">
      <is>
        <t>124,27р.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54" sId="40" odxf="1" dxf="1">
    <nc r="A38" t="inlineStr">
      <is>
        <t>Наконечник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55" sId="40" odxf="1" dxf="1">
    <nc r="B38">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8" start="0" length="0">
    <dxf>
      <font>
        <sz val="6"/>
        <color auto="1"/>
        <name val="Arial Narrow"/>
        <scheme val="none"/>
      </font>
      <numFmt numFmtId="2" formatCode="0.00"/>
      <fill>
        <patternFill patternType="solid">
          <bgColor theme="0"/>
        </patternFill>
      </fill>
      <alignment horizontal="center" vertical="center" readingOrder="0"/>
    </dxf>
  </rfmt>
  <rcc rId="11356" sId="40" odxf="1" dxf="1">
    <nc r="D38" t="inlineStr">
      <is>
        <t>200,05р.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7" sId="40" odxf="1" dxf="1">
    <nc r="E38" t="inlineStr">
      <is>
        <t>277,00р.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8" sId="40" odxf="1" dxf="1">
    <nc r="F38" t="inlineStr">
      <is>
        <t>307,78р.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59" sId="40" odxf="1" dxf="1">
    <nc r="A39" t="inlineStr">
      <is>
        <t>Наконечник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60" sId="40" odxf="1" dxf="1">
    <nc r="B39">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9" start="0" length="0">
    <dxf>
      <font>
        <sz val="6"/>
        <color auto="1"/>
        <name val="Arial Narrow"/>
        <scheme val="none"/>
      </font>
      <numFmt numFmtId="2" formatCode="0.00"/>
      <fill>
        <patternFill patternType="solid">
          <bgColor theme="0"/>
        </patternFill>
      </fill>
      <alignment horizontal="center" vertical="center" readingOrder="0"/>
    </dxf>
  </rfmt>
  <rcc rId="11361" sId="40" odxf="1" dxf="1">
    <nc r="D39" t="inlineStr">
      <is>
        <t>210,11р.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2" sId="40" odxf="1" dxf="1">
    <nc r="E39" t="inlineStr">
      <is>
        <t>290,92р.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3" sId="40" odxf="1" dxf="1">
    <nc r="F39" t="inlineStr">
      <is>
        <t>323,24р.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64" sId="40" odxf="1" dxf="1">
    <nc r="A40" t="inlineStr">
      <is>
        <t>Коллектор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65" sId="40" odxf="1" dxf="1">
    <nc r="B40">
      <v>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40" start="0" length="0">
    <dxf>
      <font>
        <sz val="6"/>
        <color auto="1"/>
        <name val="Arial Narrow"/>
        <scheme val="none"/>
      </font>
      <numFmt numFmtId="2" formatCode="0.00"/>
      <fill>
        <patternFill patternType="solid">
          <bgColor theme="0"/>
        </patternFill>
      </fill>
      <alignment horizontal="center" vertical="center" readingOrder="0"/>
    </dxf>
  </rfmt>
  <rcc rId="11366" sId="40" odxf="1" dxf="1">
    <nc r="D40" t="inlineStr">
      <is>
        <t>461,69р.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7" sId="40" odxf="1" dxf="1">
    <nc r="E40" t="inlineStr">
      <is>
        <t>639,26р.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8" sId="40" odxf="1" dxf="1">
    <nc r="F40" t="inlineStr">
      <is>
        <t>710,29р.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69" sId="40" odxf="1" dxf="1">
    <nc r="A41" t="inlineStr">
      <is>
        <t>Коллектор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70" sId="40" odxf="1" dxf="1">
    <nc r="B41">
      <v>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41" start="0" length="0">
    <dxf>
      <font>
        <sz val="6"/>
        <color auto="1"/>
        <name val="Arial Narrow"/>
        <scheme val="none"/>
      </font>
      <numFmt numFmtId="2" formatCode="0.00"/>
      <fill>
        <patternFill patternType="solid">
          <bgColor theme="0"/>
        </patternFill>
      </fill>
      <alignment horizontal="center" vertical="center" readingOrder="0"/>
    </dxf>
  </rfmt>
  <rcc rId="11371" sId="40" odxf="1" dxf="1">
    <nc r="D41" t="inlineStr">
      <is>
        <t>484,74р.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2" sId="40" odxf="1" dxf="1">
    <nc r="E41" t="inlineStr">
      <is>
        <t>671,18р.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3" sId="40" odxf="1" dxf="1">
    <nc r="F41" t="inlineStr">
      <is>
        <t>745,76р.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74" sId="40" odxf="1" dxf="1">
    <nc r="A42" t="inlineStr">
      <is>
        <t>LUX/PREMIUM Переходник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75" sId="40" odxf="1" dxf="1">
    <nc r="B42">
      <v>55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2" start="0" length="0">
    <dxf>
      <font>
        <sz val="6"/>
        <color auto="1"/>
        <name val="Arial Narrow"/>
        <scheme val="none"/>
      </font>
      <numFmt numFmtId="2" formatCode="0.00"/>
      <fill>
        <patternFill patternType="solid">
          <bgColor theme="0"/>
        </patternFill>
      </fill>
      <alignment horizontal="center" vertical="center" readingOrder="0"/>
    </dxf>
  </rfmt>
  <rcc rId="11376" sId="40" odxf="1" dxf="1">
    <nc r="D42" t="inlineStr">
      <is>
        <t>269,29р.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7" sId="40" odxf="1" dxf="1">
    <nc r="E42" t="inlineStr">
      <is>
        <t>372,86р.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8" sId="40" odxf="1" dxf="1">
    <nc r="F42" t="inlineStr">
      <is>
        <t>414,29р.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79" sId="40" odxf="1" dxf="1">
    <nc r="A43" t="inlineStr">
      <is>
        <t>LUX/PREMIUM Переходник Шоколад</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1380" sId="40" odxf="1" dxf="1">
    <nc r="B43">
      <v>55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3" start="0" length="0">
    <dxf>
      <font>
        <sz val="6"/>
        <color auto="1"/>
        <name val="Arial Narrow"/>
        <scheme val="none"/>
      </font>
      <numFmt numFmtId="2" formatCode="0.00"/>
      <fill>
        <patternFill patternType="solid">
          <bgColor theme="0"/>
        </patternFill>
      </fill>
      <alignment horizontal="center" vertical="center" readingOrder="0"/>
    </dxf>
  </rfmt>
  <rcc rId="11381" sId="40" odxf="1" dxf="1">
    <nc r="D43" t="inlineStr">
      <is>
        <t>282,79р.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2" sId="40" odxf="1" dxf="1">
    <nc r="E43" t="inlineStr">
      <is>
        <t>391,56р.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3" sId="40" odxf="1" dxf="1">
    <nc r="F43" t="inlineStr">
      <is>
        <t>435,06р.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84" sId="40" odxf="1" dxf="1">
    <nc r="A44" t="inlineStr">
      <is>
        <t>Тройник 45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85" sId="40" odxf="1" dxf="1">
    <nc r="B44">
      <v>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4" start="0" length="0">
    <dxf>
      <font>
        <sz val="6"/>
        <color auto="1"/>
        <name val="Arial Narrow"/>
        <scheme val="none"/>
      </font>
      <numFmt numFmtId="2" formatCode="0.00"/>
      <fill>
        <patternFill patternType="solid">
          <bgColor theme="0"/>
        </patternFill>
      </fill>
      <alignment horizontal="center" vertical="center" readingOrder="0"/>
    </dxf>
  </rfmt>
  <rcc rId="11386" sId="40" odxf="1" dxf="1">
    <nc r="D44" t="inlineStr">
      <is>
        <t>473,19р.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7" sId="40" odxf="1" dxf="1">
    <nc r="E44" t="inlineStr">
      <is>
        <t>655,18р.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8" sId="40" odxf="1" dxf="1">
    <nc r="F44" t="inlineStr">
      <is>
        <t>727,98р.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89" sId="40" odxf="1" dxf="1">
    <nc r="A45" t="inlineStr">
      <is>
        <t>Тройник 45 Шоколад,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90" sId="40" odxf="1" dxf="1">
    <nc r="B45">
      <v>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5" start="0" length="0">
    <dxf>
      <font>
        <sz val="6"/>
        <color auto="1"/>
        <name val="Arial Narrow"/>
        <scheme val="none"/>
      </font>
      <numFmt numFmtId="2" formatCode="0.00"/>
      <fill>
        <patternFill patternType="solid">
          <bgColor theme="0"/>
        </patternFill>
      </fill>
      <alignment horizontal="center" vertical="center" readingOrder="0"/>
    </dxf>
  </rfmt>
  <rcc rId="11391" sId="40" odxf="1" dxf="1">
    <nc r="D45" t="inlineStr">
      <is>
        <t>496,85р.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92" sId="40" odxf="1" dxf="1">
    <nc r="E45" t="inlineStr">
      <is>
        <t>687,95р.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93" sId="40" odxf="1" dxf="1">
    <nc r="F45" t="inlineStr">
      <is>
        <t>764,39р.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rc rId="11394" sId="40" ref="A5:XFD5" action="deleteRow">
    <rfmt sheetId="40" xfDxf="1" sqref="A5:XFD5" start="0" length="0"/>
    <rfmt sheetId="40" sqref="A5" start="0" length="0">
      <dxf>
        <font>
          <sz val="11"/>
          <color theme="1"/>
          <name val="Arial Narrow"/>
          <scheme val="none"/>
        </font>
        <fill>
          <patternFill patternType="solid">
            <bgColor theme="0"/>
          </patternFill>
        </fill>
        <alignment vertical="center" readingOrder="0"/>
      </dxf>
    </rfmt>
    <rfmt sheetId="40" sqref="B5" start="0" length="0">
      <dxf>
        <font>
          <sz val="11"/>
          <color theme="1"/>
          <name val="Arial Narrow"/>
          <scheme val="none"/>
        </font>
        <fill>
          <patternFill patternType="solid">
            <bgColor theme="0"/>
          </patternFill>
        </fill>
        <alignment vertical="center" readingOrder="0"/>
      </dxf>
    </rfmt>
    <rfmt sheetId="40" sqref="C5" start="0" length="0">
      <dxf>
        <font>
          <sz val="11"/>
          <color auto="1"/>
          <name val="Arial Narrow"/>
          <scheme val="none"/>
        </font>
        <fill>
          <patternFill patternType="solid">
            <bgColor theme="0"/>
          </patternFill>
        </fill>
        <alignment vertical="center" readingOrder="0"/>
      </dxf>
    </rfmt>
    <rfmt sheetId="40" sqref="D5" start="0" length="0">
      <dxf>
        <font>
          <sz val="11"/>
          <color auto="1"/>
          <name val="Arial Narrow"/>
          <scheme val="none"/>
        </font>
        <fill>
          <patternFill patternType="solid">
            <bgColor theme="0"/>
          </patternFill>
        </fill>
        <alignment vertical="center" readingOrder="0"/>
      </dxf>
    </rfmt>
    <rfmt sheetId="40" sqref="E5" start="0" length="0">
      <dxf>
        <font>
          <sz val="11"/>
          <color auto="1"/>
          <name val="Arial Narrow"/>
          <scheme val="none"/>
        </font>
        <fill>
          <patternFill patternType="solid">
            <bgColor theme="0"/>
          </patternFill>
        </fill>
        <alignment vertical="center" readingOrder="0"/>
      </dxf>
    </rfmt>
    <rfmt sheetId="40" sqref="F5" start="0" length="0">
      <dxf>
        <font>
          <sz val="11"/>
          <color auto="1"/>
          <name val="Arial Narrow"/>
          <scheme val="none"/>
        </font>
        <fill>
          <patternFill patternType="solid">
            <bgColor theme="0"/>
          </patternFill>
        </fill>
        <alignment vertical="center" readingOrder="0"/>
      </dxf>
    </rfmt>
  </rrc>
  <rrc rId="11395" sId="40" ref="A3:XFD3" action="deleteRow">
    <rfmt sheetId="40" xfDxf="1" sqref="A3:XFD3" start="0" length="0"/>
  </rrc>
  <rcc rId="11396" sId="40"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0"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rc rId="11397" sId="40" ref="A2:XFD2" action="deleteRow">
    <rfmt sheetId="40"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snm rId="11437" sheetId="37" oldName="[ПРАЙС ЦЕНТР-ТИМ 2019 обновленный.xlsx]Лист3" newName="[ПРАЙС ЦЕНТР-ТИМ 2019 обновленный.xlsx]Вентиляция Кровел ДЕКЕ"/>
</revisions>
</file>

<file path=xl/revisions/revisionLog1121.xml><?xml version="1.0" encoding="utf-8"?>
<revisions xmlns="http://schemas.openxmlformats.org/spreadsheetml/2006/main" xmlns:r="http://schemas.openxmlformats.org/officeDocument/2006/relationships">
  <rcc rId="10223" sId="5">
    <oc r="E5" t="inlineStr">
      <is>
        <t>от 1 м3</t>
      </is>
    </oc>
    <nc r="E5" t="inlineStr">
      <is>
        <t>Цена со склада</t>
      </is>
    </nc>
  </rcc>
  <rcc rId="10224" sId="5">
    <oc r="E4" t="inlineStr">
      <is>
        <t>г. Орел</t>
      </is>
    </oc>
    <nc r="E4"/>
  </rcc>
  <rcc rId="10225" sId="5">
    <oc r="F5" t="inlineStr">
      <is>
        <t>от 80 м3</t>
      </is>
    </oc>
    <nc r="F5" t="inlineStr">
      <is>
        <t>Цена  на заводе</t>
      </is>
    </nc>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211.xml><?xml version="1.0" encoding="utf-8"?>
<revisions xmlns="http://schemas.openxmlformats.org/spreadsheetml/2006/main" xmlns:r="http://schemas.openxmlformats.org/officeDocument/2006/relationships">
  <rrc rId="9285" sId="32" ref="A1:XFD1" action="deleteRow">
    <rfmt sheetId="32" xfDxf="1" sqref="A1:XFD1" start="0" length="0"/>
  </rrc>
  <rrc rId="9286" sId="32" ref="A1:XFD1" action="deleteRow">
    <rfmt sheetId="32" xfDxf="1" sqref="A1:XFD1" start="0" length="0"/>
  </rrc>
  <rcc rId="9287" sId="32" odxf="1" dxf="1">
    <nc r="A1" t="inlineStr">
      <is>
        <t>прайс без учета доставки</t>
      </is>
    </nc>
    <ndxf>
      <font>
        <b/>
        <sz val="11"/>
        <color theme="1"/>
        <name val="Calibri"/>
        <scheme val="minor"/>
      </font>
    </ndxf>
  </rcc>
  <rcc rId="9288" sId="32" odxf="1" dxf="1">
    <oc r="F1" t="inlineStr">
      <is>
        <t>Производство Завода М</t>
      </is>
    </oc>
    <nc r="F1" t="inlineStr">
      <is>
        <t>Производство Завода МЕТАЛЛ-ГАРАНТ (г. Липецк)</t>
      </is>
    </nc>
    <ndxf>
      <font>
        <b/>
        <sz val="11"/>
        <color theme="1"/>
        <name val="Calibri"/>
        <scheme val="minor"/>
      </font>
    </ndxf>
  </rcc>
  <rfmt sheetId="32" sqref="A1:H1">
    <dxf>
      <fill>
        <patternFill patternType="solid">
          <bgColor rgb="FFFFFF00"/>
        </patternFill>
      </fill>
    </dxf>
  </rfmt>
  <rcc rId="9289" sId="32">
    <oc r="F9">
      <v>315</v>
    </oc>
    <nc r="F9">
      <v>362</v>
    </nc>
  </rcc>
  <rcc rId="9290" sId="32">
    <oc r="F10">
      <v>330</v>
    </oc>
    <nc r="F10">
      <v>380</v>
    </nc>
  </rcc>
  <rcc rId="9291" sId="32">
    <oc r="F11">
      <v>335</v>
    </oc>
    <nc r="F11">
      <v>385</v>
    </nc>
  </rcc>
  <rcc rId="9292" sId="32">
    <oc r="F12">
      <v>355</v>
    </oc>
    <nc r="F12">
      <v>410</v>
    </nc>
  </rcc>
  <rcc rId="9293" sId="32">
    <oc r="F13">
      <v>320</v>
    </oc>
    <nc r="F13">
      <v>370</v>
    </nc>
  </rcc>
  <rcc rId="9294" sId="32">
    <oc r="F14">
      <v>335</v>
    </oc>
    <nc r="F14">
      <v>385</v>
    </nc>
  </rcc>
  <rcc rId="9295" sId="32">
    <oc r="F15">
      <v>340</v>
    </oc>
    <nc r="F15">
      <v>390</v>
    </nc>
  </rcc>
  <rcc rId="9296" sId="32">
    <oc r="F16">
      <v>360</v>
    </oc>
    <nc r="F16">
      <v>415</v>
    </nc>
  </rcc>
  <rfmt sheetId="32" sqref="F9:F16">
    <dxf>
      <fill>
        <patternFill>
          <bgColor theme="0" tint="-0.14999847407452621"/>
        </patternFill>
      </fill>
    </dxf>
  </rfmt>
  <rcc rId="9297" sId="32" numFmtId="4">
    <oc r="D17">
      <f>E17/1.2</f>
    </oc>
    <nc r="D17">
      <v>235</v>
    </nc>
  </rcc>
  <rcc rId="9298" sId="32" numFmtId="4">
    <oc r="D18">
      <f>E18/1.2</f>
    </oc>
    <nc r="D18">
      <v>260</v>
    </nc>
  </rcc>
  <rcc rId="9299" sId="32" numFmtId="4">
    <oc r="D19">
      <f>E19/1.2</f>
    </oc>
    <nc r="D19">
      <v>277</v>
    </nc>
  </rcc>
  <rcc rId="9300" sId="32" numFmtId="4">
    <oc r="D20">
      <f>E20/1.2</f>
    </oc>
    <nc r="D20">
      <v>305</v>
    </nc>
  </rcc>
  <rcc rId="9301" sId="32" numFmtId="4">
    <oc r="D23">
      <f>E23/1.2</f>
    </oc>
    <nc r="D23">
      <v>320</v>
    </nc>
  </rcc>
  <rfmt sheetId="32" sqref="D17:D24">
    <dxf>
      <fill>
        <patternFill>
          <bgColor theme="0" tint="-0.14999847407452621"/>
        </patternFill>
      </fill>
    </dxf>
  </rfmt>
  <rcc rId="9302" sId="32">
    <oc r="E17">
      <v>245</v>
    </oc>
    <nc r="E17">
      <v>280</v>
    </nc>
  </rcc>
  <rcc rId="9303" sId="32" numFmtId="4">
    <oc r="E18">
      <v>270</v>
    </oc>
    <nc r="E18">
      <v>310</v>
    </nc>
  </rcc>
  <rcc rId="9304" sId="32" numFmtId="4">
    <oc r="E19">
      <v>290</v>
    </oc>
    <nc r="E19">
      <v>330</v>
    </nc>
  </rcc>
  <rcc rId="9305" sId="32" numFmtId="4">
    <oc r="E20">
      <v>315</v>
    </oc>
    <nc r="E20">
      <v>360</v>
    </nc>
  </rcc>
  <rcc rId="9306" sId="32" numFmtId="4">
    <oc r="E23">
      <v>335</v>
    </oc>
    <nc r="E23">
      <v>385</v>
    </nc>
  </rcc>
  <rfmt sheetId="32" sqref="E17:E24">
    <dxf>
      <fill>
        <patternFill>
          <bgColor theme="0" tint="-0.14999847407452621"/>
        </patternFill>
      </fill>
    </dxf>
  </rfmt>
  <rcc rId="9307" sId="32" numFmtId="4">
    <oc r="F17">
      <f>G17/1.2</f>
    </oc>
    <nc r="F17">
      <v>265</v>
    </nc>
  </rcc>
  <rcc rId="9308" sId="32" numFmtId="4">
    <oc r="F18">
      <f>G18/1.2</f>
    </oc>
    <nc r="F18">
      <v>293</v>
    </nc>
  </rcc>
  <rcc rId="9309" sId="32" numFmtId="4">
    <oc r="F19">
      <f>G19/1.2</f>
    </oc>
    <nc r="F19">
      <v>325</v>
    </nc>
  </rcc>
  <rcc rId="9310" sId="32" numFmtId="4">
    <oc r="F20">
      <f>G20/1.2</f>
    </oc>
    <nc r="F20">
      <v>345</v>
    </nc>
  </rcc>
  <rcc rId="9311" sId="32" numFmtId="4">
    <oc r="F21">
      <f>G21/1.2</f>
    </oc>
    <nc r="F21">
      <v>350</v>
    </nc>
  </rcc>
  <rcc rId="9312" sId="32" numFmtId="4">
    <oc r="F22">
      <f>G22/1.2</f>
    </oc>
    <nc r="F22">
      <v>380</v>
    </nc>
  </rcc>
  <rcc rId="9313" sId="32" numFmtId="4">
    <oc r="F23">
      <f>G23/1.2</f>
    </oc>
    <nc r="F23">
      <v>370</v>
    </nc>
  </rcc>
  <rfmt sheetId="32" sqref="F17:F24">
    <dxf>
      <fill>
        <patternFill>
          <bgColor theme="0" tint="-0.14999847407452621"/>
        </patternFill>
      </fill>
    </dxf>
  </rfmt>
  <rcc rId="9314" sId="32" numFmtId="4">
    <oc r="G17">
      <v>275</v>
    </oc>
    <nc r="G17">
      <v>315</v>
    </nc>
  </rcc>
  <rcc rId="9315" sId="32" numFmtId="4">
    <oc r="G18">
      <v>305</v>
    </oc>
    <nc r="G18">
      <v>350</v>
    </nc>
  </rcc>
  <rcc rId="9316" sId="32" numFmtId="4">
    <oc r="G19">
      <v>340</v>
    </oc>
    <nc r="G19">
      <v>390</v>
    </nc>
  </rcc>
  <rcc rId="9317" sId="32" numFmtId="4">
    <oc r="G20">
      <v>360</v>
    </oc>
    <nc r="G20">
      <v>410</v>
    </nc>
  </rcc>
  <rcc rId="9318" sId="32" numFmtId="4">
    <oc r="G21">
      <v>365</v>
    </oc>
    <nc r="G21">
      <v>415</v>
    </nc>
  </rcc>
  <rcc rId="9319" sId="32" numFmtId="4">
    <oc r="G22">
      <v>400</v>
    </oc>
    <nc r="G22">
      <v>460</v>
    </nc>
  </rcc>
  <rcc rId="9320" sId="32" numFmtId="4">
    <oc r="G23">
      <v>390</v>
    </oc>
    <nc r="G23">
      <v>440</v>
    </nc>
  </rcc>
  <rfmt sheetId="32" sqref="G17:G24">
    <dxf>
      <fill>
        <patternFill>
          <bgColor theme="0" tint="-0.14999847407452621"/>
        </patternFill>
      </fill>
    </dxf>
  </rfmt>
  <rcc rId="9321" sId="32" numFmtId="4">
    <oc r="D25">
      <f>E25/1.16</f>
    </oc>
    <nc r="D25">
      <v>240</v>
    </nc>
  </rcc>
  <rcc rId="9322" sId="32" numFmtId="4">
    <oc r="D26">
      <f>E26/1.16</f>
    </oc>
    <nc r="D26">
      <v>260</v>
    </nc>
  </rcc>
  <rcc rId="9323" sId="32" numFmtId="4">
    <oc r="D27">
      <f>E27/1.16</f>
    </oc>
    <nc r="D27">
      <v>290</v>
    </nc>
  </rcc>
  <rcc rId="9324" sId="32" numFmtId="4">
    <oc r="D28">
      <f>E28/1.16</f>
    </oc>
    <nc r="D28">
      <v>312</v>
    </nc>
  </rcc>
  <rcc rId="9325" sId="32" numFmtId="4">
    <oc r="D31">
      <f>E31/1.16</f>
    </oc>
    <nc r="D31">
      <v>330</v>
    </nc>
  </rcc>
  <rfmt sheetId="32" sqref="D25:D32">
    <dxf>
      <fill>
        <patternFill>
          <bgColor theme="0" tint="-0.14999847407452621"/>
        </patternFill>
      </fill>
    </dxf>
  </rfmt>
  <rcc rId="9326" sId="32">
    <oc r="E25">
      <v>245</v>
    </oc>
    <nc r="E25">
      <v>280</v>
    </nc>
  </rcc>
  <rcc rId="9327" sId="32" numFmtId="4">
    <oc r="E26">
      <v>270</v>
    </oc>
    <nc r="E26">
      <v>310</v>
    </nc>
  </rcc>
  <rcc rId="9328" sId="32" numFmtId="4">
    <oc r="E27">
      <v>290</v>
    </oc>
    <nc r="E27">
      <v>330</v>
    </nc>
  </rcc>
  <rcc rId="9329" sId="32" numFmtId="4">
    <oc r="E28">
      <v>315</v>
    </oc>
    <nc r="E28">
      <v>360</v>
    </nc>
  </rcc>
  <rcc rId="9330" sId="32" numFmtId="4">
    <oc r="E31">
      <v>335</v>
    </oc>
    <nc r="E31">
      <v>380</v>
    </nc>
  </rcc>
  <rfmt sheetId="32" sqref="E25:E32">
    <dxf>
      <fill>
        <patternFill>
          <bgColor theme="0" tint="-0.14999847407452621"/>
        </patternFill>
      </fill>
    </dxf>
  </rfmt>
  <rcc rId="9331" sId="32" numFmtId="4">
    <oc r="F25">
      <f>G25/1.16</f>
    </oc>
    <nc r="F25">
      <v>270</v>
    </nc>
  </rcc>
  <rcc rId="9332" sId="32" numFmtId="4">
    <oc r="F26">
      <f>G26/1.16</f>
    </oc>
    <nc r="F26">
      <v>300</v>
    </nc>
  </rcc>
  <rcc rId="9333" sId="32" numFmtId="4">
    <oc r="F27">
      <f>G27/1.16</f>
    </oc>
    <nc r="F27">
      <v>335</v>
    </nc>
  </rcc>
  <rcc rId="9334" sId="32" numFmtId="4">
    <oc r="F28">
      <f>G28/1.16</f>
    </oc>
    <nc r="F28">
      <v>356</v>
    </nc>
  </rcc>
  <rcc rId="9335" sId="32" numFmtId="4">
    <oc r="F29">
      <f>G29/1.16</f>
    </oc>
    <nc r="F29">
      <v>360</v>
    </nc>
  </rcc>
  <rcc rId="9336" sId="32" numFmtId="4">
    <oc r="F31">
      <f>G31/1.16</f>
    </oc>
    <nc r="F31">
      <v>380</v>
    </nc>
  </rcc>
  <rfmt sheetId="32" sqref="F25:F32">
    <dxf>
      <fill>
        <patternFill>
          <bgColor theme="0" tint="-0.14999847407452621"/>
        </patternFill>
      </fill>
    </dxf>
  </rfmt>
  <rcc rId="9337" sId="32" numFmtId="4">
    <oc r="G25">
      <v>275</v>
    </oc>
    <nc r="G25">
      <v>310</v>
    </nc>
  </rcc>
  <rcc rId="9338" sId="32" numFmtId="4">
    <oc r="G26">
      <v>305</v>
    </oc>
    <nc r="G26">
      <v>350</v>
    </nc>
  </rcc>
  <rcc rId="9339" sId="32" numFmtId="4">
    <oc r="G27">
      <v>340</v>
    </oc>
    <nc r="G27">
      <v>390</v>
    </nc>
  </rcc>
  <rcc rId="9340" sId="32" numFmtId="4">
    <oc r="G28">
      <v>360</v>
    </oc>
    <nc r="G28">
      <v>410</v>
    </nc>
  </rcc>
  <rcc rId="9341" sId="32" numFmtId="4">
    <oc r="G29">
      <v>365</v>
    </oc>
    <nc r="G29">
      <v>410</v>
    </nc>
  </rcc>
  <rcc rId="9342" sId="32" numFmtId="4">
    <oc r="G31">
      <v>390</v>
    </oc>
    <nc r="G31">
      <v>435</v>
    </nc>
  </rcc>
  <rfmt sheetId="32" sqref="G25:G32">
    <dxf>
      <fill>
        <patternFill>
          <bgColor theme="0" tint="-0.14999847407452621"/>
        </patternFill>
      </fill>
    </dxf>
  </rfmt>
  <rcc rId="9343" sId="32" numFmtId="4">
    <oc r="D33">
      <f>E33/1.18</f>
    </oc>
    <nc r="D33">
      <v>238</v>
    </nc>
  </rcc>
  <rcc rId="9344" sId="32" numFmtId="4">
    <oc r="D34">
      <f>E34/1.18</f>
    </oc>
    <nc r="D34">
      <v>260</v>
    </nc>
  </rcc>
  <rcc rId="9345" sId="32" numFmtId="4">
    <oc r="D35">
      <f>E35/1.18</f>
    </oc>
    <nc r="D35">
      <v>280</v>
    </nc>
  </rcc>
  <rcc rId="9346" sId="32" numFmtId="4">
    <oc r="D36">
      <f>E36/1.18</f>
    </oc>
    <nc r="D36">
      <v>300</v>
    </nc>
  </rcc>
  <rcc rId="9347" sId="32" numFmtId="4">
    <oc r="D39">
      <f>E39/1.18</f>
    </oc>
    <nc r="D39">
      <v>320</v>
    </nc>
  </rcc>
  <rfmt sheetId="32" sqref="D33:D40">
    <dxf>
      <fill>
        <patternFill>
          <bgColor theme="0" tint="-0.14999847407452621"/>
        </patternFill>
      </fill>
    </dxf>
  </rfmt>
  <rcc rId="9348" sId="32">
    <oc r="E33">
      <v>245</v>
    </oc>
    <nc r="E33">
      <v>280</v>
    </nc>
  </rcc>
  <rcc rId="9349" sId="32" numFmtId="4">
    <oc r="E34">
      <v>270</v>
    </oc>
    <nc r="E34">
      <v>310</v>
    </nc>
  </rcc>
  <rcc rId="9350" sId="32" numFmtId="4">
    <oc r="E35">
      <v>290</v>
    </oc>
    <nc r="E35">
      <v>330</v>
    </nc>
  </rcc>
  <rcc rId="9351" sId="32" numFmtId="4">
    <oc r="E36">
      <v>315</v>
    </oc>
    <nc r="E36">
      <v>360</v>
    </nc>
  </rcc>
  <rcc rId="9352" sId="32" numFmtId="4">
    <oc r="E39">
      <v>335</v>
    </oc>
    <nc r="E39">
      <v>380</v>
    </nc>
  </rcc>
  <rfmt sheetId="32" sqref="E33:E40">
    <dxf>
      <fill>
        <patternFill>
          <bgColor theme="0" tint="-0.14999847407452621"/>
        </patternFill>
      </fill>
    </dxf>
  </rfmt>
  <rcc rId="9353" sId="32" numFmtId="4">
    <oc r="F33">
      <f>G33/1.18</f>
    </oc>
    <nc r="F33">
      <v>260</v>
    </nc>
  </rcc>
  <rcc rId="9354" sId="32" numFmtId="4">
    <oc r="F34">
      <f>G34/1.18</f>
    </oc>
    <nc r="F34">
      <v>290</v>
    </nc>
  </rcc>
  <rcc rId="9355" sId="32" numFmtId="4">
    <oc r="F35">
      <f>G35/1.18</f>
    </oc>
    <nc r="F35">
      <v>330</v>
    </nc>
  </rcc>
  <rcc rId="9356" sId="32" numFmtId="4">
    <oc r="F36">
      <f>G36/1.18</f>
    </oc>
    <nc r="F36">
      <v>350</v>
    </nc>
  </rcc>
  <rcc rId="9357" sId="32" numFmtId="4">
    <oc r="F37">
      <f>G37/1.18</f>
    </oc>
    <nc r="F37">
      <v>350</v>
    </nc>
  </rcc>
  <rcc rId="9358" sId="32" numFmtId="4">
    <oc r="F39">
      <f>G39/1.18</f>
    </oc>
    <nc r="F39">
      <v>370</v>
    </nc>
  </rcc>
  <rfmt sheetId="32" sqref="F33:F40">
    <dxf>
      <fill>
        <patternFill>
          <bgColor theme="0" tint="-0.14999847407452621"/>
        </patternFill>
      </fill>
    </dxf>
  </rfmt>
  <rcc rId="9359" sId="32" numFmtId="4">
    <oc r="G33">
      <v>275</v>
    </oc>
    <nc r="G33">
      <v>310</v>
    </nc>
  </rcc>
  <rcc rId="9360" sId="32" numFmtId="4">
    <oc r="G34">
      <v>305</v>
    </oc>
    <nc r="G34">
      <v>350</v>
    </nc>
  </rcc>
  <rcc rId="9361" sId="32" numFmtId="4">
    <oc r="G35">
      <v>340</v>
    </oc>
    <nc r="G35">
      <v>390</v>
    </nc>
  </rcc>
  <rcc rId="9362" sId="32" numFmtId="4">
    <oc r="G36">
      <v>360</v>
    </oc>
    <nc r="G36">
      <v>410</v>
    </nc>
  </rcc>
  <rcc rId="9363" sId="32" numFmtId="4">
    <oc r="G37">
      <v>365</v>
    </oc>
    <nc r="G37">
      <v>410</v>
    </nc>
  </rcc>
  <rcc rId="9364" sId="32" numFmtId="4">
    <oc r="G39">
      <v>390</v>
    </oc>
    <nc r="G39">
      <v>440</v>
    </nc>
  </rcc>
  <rfmt sheetId="32" sqref="G33:G40">
    <dxf>
      <fill>
        <patternFill>
          <bgColor theme="0" tint="-0.14999847407452621"/>
        </patternFill>
      </fill>
    </dxf>
  </rfmt>
  <rcc rId="9365" sId="32" numFmtId="4">
    <oc r="D41">
      <f>E41/1.051</f>
    </oc>
    <nc r="D41">
      <v>260</v>
    </nc>
  </rcc>
  <rcc rId="9366" sId="32" numFmtId="4">
    <oc r="D42">
      <f>E42/1.051</f>
    </oc>
    <nc r="D42">
      <v>290</v>
    </nc>
  </rcc>
  <rcc rId="9367" sId="32" numFmtId="4">
    <oc r="D43">
      <f>E43/1.051</f>
    </oc>
    <nc r="D43">
      <v>310</v>
    </nc>
  </rcc>
  <rcc rId="9368" sId="32" numFmtId="4">
    <oc r="D44">
      <f>E44/1.051</f>
    </oc>
    <nc r="D44">
      <v>340</v>
    </nc>
  </rcc>
  <rcc rId="9369" sId="32" numFmtId="4">
    <oc r="D47">
      <f>E47/1.051</f>
    </oc>
    <nc r="D47">
      <v>360</v>
    </nc>
  </rcc>
  <rfmt sheetId="32" sqref="D41:D48">
    <dxf>
      <fill>
        <patternFill>
          <bgColor theme="0" tint="-0.14999847407452621"/>
        </patternFill>
      </fill>
    </dxf>
  </rfmt>
  <rcc rId="9370" sId="32">
    <oc r="E41">
      <v>245</v>
    </oc>
    <nc r="E41">
      <v>280</v>
    </nc>
  </rcc>
  <rcc rId="9371" sId="32" numFmtId="4">
    <oc r="E42">
      <v>270</v>
    </oc>
    <nc r="E42">
      <v>310</v>
    </nc>
  </rcc>
  <rcc rId="9372" sId="32" numFmtId="4">
    <oc r="E43">
      <v>290</v>
    </oc>
    <nc r="E43">
      <v>330</v>
    </nc>
  </rcc>
  <rcc rId="9373" sId="32" numFmtId="4">
    <oc r="E44">
      <v>315</v>
    </oc>
    <nc r="E44">
      <v>360</v>
    </nc>
  </rcc>
  <rcc rId="9374" sId="32" numFmtId="4">
    <oc r="E47">
      <v>335</v>
    </oc>
    <nc r="E47">
      <v>380</v>
    </nc>
  </rcc>
  <rfmt sheetId="32" sqref="E41:E48">
    <dxf>
      <fill>
        <patternFill>
          <bgColor theme="0" tint="-0.14999847407452621"/>
        </patternFill>
      </fill>
    </dxf>
  </rfmt>
  <rcc rId="9375" sId="32" numFmtId="4">
    <oc r="F41">
      <f>G41/1.051</f>
    </oc>
    <nc r="F41">
      <v>300</v>
    </nc>
  </rcc>
  <rcc rId="9376" sId="32" numFmtId="4">
    <oc r="F42">
      <f>G42/1.051</f>
    </oc>
    <nc r="F42">
      <v>330</v>
    </nc>
  </rcc>
  <rcc rId="9377" sId="32" numFmtId="4">
    <oc r="F43">
      <f>G43/1.051</f>
    </oc>
    <nc r="F43">
      <v>370</v>
    </nc>
  </rcc>
  <rcc rId="9378" sId="32" numFmtId="4">
    <oc r="F44">
      <f>G44/1.051</f>
    </oc>
    <nc r="F44">
      <v>390</v>
    </nc>
  </rcc>
  <rcc rId="9379" sId="32" numFmtId="4">
    <oc r="F45">
      <f>G45/1.051</f>
    </oc>
    <nc r="F45">
      <v>390</v>
    </nc>
  </rcc>
  <rcc rId="9380" sId="32" numFmtId="4">
    <oc r="F47">
      <f>G47/1.051</f>
    </oc>
    <nc r="F47">
      <v>420</v>
    </nc>
  </rcc>
  <rfmt sheetId="32" sqref="F41:F48">
    <dxf>
      <fill>
        <patternFill>
          <bgColor theme="0" tint="-0.14999847407452621"/>
        </patternFill>
      </fill>
    </dxf>
  </rfmt>
  <rcc rId="9381" sId="32" numFmtId="4">
    <oc r="G41">
      <v>275</v>
    </oc>
    <nc r="G41">
      <v>310</v>
    </nc>
  </rcc>
  <rcc rId="9382" sId="32" numFmtId="4">
    <oc r="G42">
      <v>305</v>
    </oc>
    <nc r="G42">
      <v>350</v>
    </nc>
  </rcc>
  <rcc rId="9383" sId="32" numFmtId="4">
    <oc r="G43">
      <v>340</v>
    </oc>
    <nc r="G43">
      <v>390</v>
    </nc>
  </rcc>
  <rcc rId="9384" sId="32" numFmtId="4">
    <oc r="G44">
      <v>360</v>
    </oc>
    <nc r="G44">
      <v>410</v>
    </nc>
  </rcc>
  <rcc rId="9385" sId="32" numFmtId="4">
    <oc r="G45">
      <v>365</v>
    </oc>
    <nc r="G45">
      <v>410</v>
    </nc>
  </rcc>
  <rcc rId="9386" sId="32" numFmtId="4">
    <oc r="G47">
      <v>390</v>
    </oc>
    <nc r="G47">
      <v>440</v>
    </nc>
  </rcc>
  <rfmt sheetId="32" sqref="G41:G48">
    <dxf>
      <fill>
        <patternFill>
          <bgColor theme="0" tint="-0.14999847407452621"/>
        </patternFill>
      </fill>
    </dxf>
  </rfmt>
  <rcc rId="9387" sId="32" numFmtId="4">
    <oc r="D49">
      <f>E49/1.25</f>
    </oc>
    <nc r="D49">
      <v>225</v>
    </nc>
  </rcc>
  <rcc rId="9388" sId="32" numFmtId="4">
    <oc r="D50">
      <f>E50/1.25</f>
    </oc>
    <nc r="D50">
      <v>240</v>
    </nc>
  </rcc>
  <rcc rId="9389" sId="32" numFmtId="4">
    <oc r="D51">
      <f>E51/1.25</f>
    </oc>
    <nc r="D51">
      <v>265</v>
    </nc>
  </rcc>
  <rcc rId="9390" sId="32" numFmtId="4">
    <oc r="D52">
      <f>E52/1.25</f>
    </oc>
    <nc r="D52">
      <v>285</v>
    </nc>
  </rcc>
  <rcc rId="9391" sId="32" numFmtId="4">
    <oc r="D55">
      <f>E55/1.25</f>
    </oc>
    <nc r="D55">
      <v>305</v>
    </nc>
  </rcc>
  <rcc rId="9392" sId="32" numFmtId="4">
    <oc r="D56">
      <f>E56/1.25</f>
    </oc>
    <nc r="D56">
      <v>340</v>
    </nc>
  </rcc>
  <rcc rId="9393" sId="32" numFmtId="4">
    <oc r="D57">
      <f>E57/1.25</f>
    </oc>
    <nc r="D57">
      <v>360</v>
    </nc>
  </rcc>
  <rcc rId="9394" sId="32" numFmtId="4">
    <oc r="D58">
      <f>E58/1.25</f>
    </oc>
    <nc r="D58">
      <v>380</v>
    </nc>
  </rcc>
  <rcc rId="9395" sId="32" numFmtId="4">
    <oc r="D59">
      <f>E59/1.25</f>
    </oc>
    <nc r="D59">
      <v>410</v>
    </nc>
  </rcc>
  <rfmt sheetId="32" sqref="D49:D59">
    <dxf>
      <fill>
        <patternFill>
          <bgColor theme="0" tint="-0.14999847407452621"/>
        </patternFill>
      </fill>
    </dxf>
  </rfmt>
  <rcc rId="9396" sId="32">
    <oc r="E49">
      <v>245</v>
    </oc>
    <nc r="E49">
      <v>280</v>
    </nc>
  </rcc>
  <rcc rId="9397" sId="32" numFmtId="4">
    <oc r="E50">
      <v>270</v>
    </oc>
    <nc r="E50">
      <v>310</v>
    </nc>
  </rcc>
  <rcc rId="9398" sId="32" numFmtId="4">
    <oc r="E51">
      <v>290</v>
    </oc>
    <nc r="E51">
      <v>330</v>
    </nc>
  </rcc>
  <rcc rId="9399" sId="32" numFmtId="4">
    <oc r="E52">
      <v>315</v>
    </oc>
    <nc r="E52">
      <v>360</v>
    </nc>
  </rcc>
  <rcc rId="9400" sId="32" numFmtId="4">
    <oc r="E55">
      <v>335</v>
    </oc>
    <nc r="E55">
      <v>380</v>
    </nc>
  </rcc>
  <rcc rId="9401" sId="32" numFmtId="4">
    <oc r="E56">
      <v>370</v>
    </oc>
    <nc r="E56">
      <v>420</v>
    </nc>
  </rcc>
  <rcc rId="9402" sId="32" numFmtId="4">
    <oc r="E57">
      <v>400</v>
    </oc>
    <nc r="E57">
      <v>460</v>
    </nc>
  </rcc>
  <rcc rId="9403" sId="32" numFmtId="4">
    <oc r="E58">
      <v>420</v>
    </oc>
    <nc r="E58">
      <v>480</v>
    </nc>
  </rcc>
  <rcc rId="9404" sId="32" numFmtId="4">
    <oc r="E59">
      <v>455</v>
    </oc>
    <nc r="E59">
      <v>520</v>
    </nc>
  </rcc>
  <rfmt sheetId="32" sqref="E49:E59">
    <dxf>
      <fill>
        <patternFill>
          <bgColor theme="0" tint="-0.14999847407452621"/>
        </patternFill>
      </fill>
    </dxf>
  </rfmt>
  <rcc rId="9405" sId="32" numFmtId="4">
    <oc r="F49">
      <f>G49/1.25</f>
    </oc>
    <nc r="F49">
      <v>250</v>
    </nc>
  </rcc>
  <rcc rId="9406" sId="32" numFmtId="4">
    <oc r="F50">
      <f>G50/1.25</f>
    </oc>
    <nc r="F50">
      <v>280</v>
    </nc>
  </rcc>
  <rcc rId="9407" sId="32" numFmtId="4">
    <oc r="F51">
      <f>G51/1.25</f>
    </oc>
    <nc r="F51">
      <v>310</v>
    </nc>
  </rcc>
  <rcc rId="9408" sId="32" numFmtId="4">
    <oc r="F52">
      <f>G52/1.25</f>
    </oc>
    <nc r="F52">
      <v>330</v>
    </nc>
  </rcc>
  <rcc rId="9409" sId="32" numFmtId="4">
    <oc r="F53">
      <f>G53/1.25</f>
    </oc>
    <nc r="F53">
      <v>330</v>
    </nc>
  </rcc>
  <rcc rId="9410" sId="32" numFmtId="4">
    <oc r="F55">
      <f>G55/1.25</f>
    </oc>
    <nc r="F55">
      <v>345</v>
    </nc>
  </rcc>
  <rcc rId="9411" sId="32" numFmtId="4">
    <oc r="F56">
      <f>G56/1.25</f>
    </oc>
    <nc r="F56">
      <v>385</v>
    </nc>
  </rcc>
  <rcc rId="9412" sId="32" numFmtId="4">
    <oc r="F57">
      <f>G57/1.25</f>
    </oc>
    <nc r="F57">
      <v>440</v>
    </nc>
  </rcc>
  <rcc rId="9413" sId="32" numFmtId="4">
    <oc r="F58">
      <f>G58/1.25</f>
    </oc>
    <nc r="F58">
      <v>460</v>
    </nc>
  </rcc>
  <rcc rId="9414" sId="32" numFmtId="4">
    <oc r="F59">
      <f>G59/1.25</f>
    </oc>
    <nc r="F59">
      <v>480</v>
    </nc>
  </rcc>
  <rfmt sheetId="32" sqref="F49:F59">
    <dxf>
      <fill>
        <patternFill>
          <bgColor theme="0" tint="-0.14999847407452621"/>
        </patternFill>
      </fill>
    </dxf>
  </rfmt>
  <rcc rId="9415" sId="32" numFmtId="4">
    <oc r="G49">
      <v>275</v>
    </oc>
    <nc r="G49">
      <v>310</v>
    </nc>
  </rcc>
  <rcc rId="9416" sId="32" numFmtId="4">
    <oc r="G50">
      <v>305</v>
    </oc>
    <nc r="G50">
      <v>350</v>
    </nc>
  </rcc>
  <rcc rId="9417" sId="32" numFmtId="4">
    <oc r="G51">
      <v>340</v>
    </oc>
    <nc r="G51">
      <v>380</v>
    </nc>
  </rcc>
  <rcc rId="9418" sId="32" numFmtId="4">
    <oc r="G52">
      <v>360</v>
    </oc>
    <nc r="G52">
      <v>400</v>
    </nc>
  </rcc>
  <rcc rId="9419" sId="32" numFmtId="4">
    <oc r="G53">
      <v>365</v>
    </oc>
    <nc r="G53">
      <v>410</v>
    </nc>
  </rcc>
  <rcc rId="9420" sId="32" numFmtId="4">
    <oc r="G55">
      <v>390</v>
    </oc>
    <nc r="G55">
      <v>440</v>
    </nc>
  </rcc>
  <rcc rId="9421" sId="32" numFmtId="4">
    <oc r="G56">
      <v>435</v>
    </oc>
    <nc r="G56">
      <v>500</v>
    </nc>
  </rcc>
  <rcc rId="9422" sId="32" numFmtId="4">
    <oc r="G57">
      <v>480</v>
    </oc>
    <nc r="G57">
      <v>550</v>
    </nc>
  </rcc>
  <rcc rId="9423" sId="32" numFmtId="4">
    <oc r="G58">
      <v>505</v>
    </oc>
    <nc r="G58">
      <v>580</v>
    </nc>
  </rcc>
  <rcc rId="9424" sId="32" numFmtId="4">
    <oc r="G59">
      <v>530</v>
    </oc>
    <nc r="G59">
      <v>590</v>
    </nc>
  </rcc>
  <rfmt sheetId="32" sqref="A5:C5" start="0" length="2147483647">
    <dxf>
      <font>
        <b/>
      </font>
    </dxf>
  </rfmt>
  <rfmt sheetId="32" sqref="A8:A59" start="0" length="2147483647">
    <dxf>
      <font>
        <b/>
      </font>
    </dxf>
  </rfmt>
  <rfmt sheetId="32" sqref="D7" start="0" length="2147483647">
    <dxf>
      <font>
        <b/>
      </font>
    </dxf>
  </rfmt>
  <rfmt sheetId="32" sqref="F7" start="0" length="2147483647">
    <dxf>
      <font>
        <b/>
      </font>
    </dxf>
  </rfmt>
  <rfmt sheetId="32" sqref="D8:G8" start="0" length="2147483647">
    <dxf>
      <font>
        <b/>
      </font>
    </dxf>
  </rfmt>
  <rfmt sheetId="32" sqref="C9:C59" start="0" length="2147483647">
    <dxf>
      <font>
        <b/>
      </font>
    </dxf>
  </rfmt>
  <rfmt sheetId="32" sqref="G49:G59">
    <dxf>
      <fill>
        <patternFill>
          <bgColor theme="0" tint="-0.14999847407452621"/>
        </patternFill>
      </fill>
    </dxf>
  </rfmt>
  <rfmt sheetId="32" sqref="B9:B59" start="0" length="2147483647">
    <dxf>
      <font>
        <b/>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111.xml><?xml version="1.0" encoding="utf-8"?>
<revisions xmlns="http://schemas.openxmlformats.org/spreadsheetml/2006/main" xmlns:r="http://schemas.openxmlformats.org/officeDocument/2006/relationships">
  <ris rId="9001" sheetId="32" name="[ПРАЙС ЦЕНТР-ТИМ 2019 обновленный.xlsx]Лист7" sheetPosition="31"/>
  <rfmt sheetId="32" sqref="A6" start="0" length="0">
    <dxf>
      <font>
        <sz val="11"/>
        <color indexed="8"/>
        <name val="Times New Roman"/>
        <scheme val="none"/>
      </font>
      <fill>
        <patternFill patternType="solid">
          <bgColor theme="0"/>
        </patternFill>
      </fill>
    </dxf>
  </rfmt>
  <rfmt sheetId="32" sqref="B6" start="0" length="0">
    <dxf>
      <font>
        <sz val="11"/>
        <color indexed="8"/>
        <name val="Times New Roman"/>
        <scheme val="none"/>
      </font>
      <fill>
        <patternFill patternType="solid">
          <bgColor theme="0"/>
        </patternFill>
      </fill>
    </dxf>
  </rfmt>
  <rcc rId="9002" sId="32" odxf="1" dxf="1">
    <nc r="C6" t="inlineStr">
      <is>
        <t xml:space="preserve">Оптовый прайс-лист </t>
      </is>
    </nc>
    <odxf>
      <font>
        <sz val="11"/>
        <color theme="1"/>
        <name val="Calibri"/>
        <scheme val="minor"/>
      </font>
      <fill>
        <patternFill patternType="none">
          <bgColor indexed="65"/>
        </patternFill>
      </fill>
    </odxf>
    <ndxf>
      <font>
        <sz val="11"/>
        <color indexed="8"/>
        <name val="Times New Roman"/>
        <scheme val="none"/>
      </font>
      <fill>
        <patternFill patternType="solid">
          <bgColor theme="0"/>
        </patternFill>
      </fill>
    </ndxf>
  </rcc>
  <rfmt sheetId="32" sqref="D6" start="0" length="0">
    <dxf>
      <font>
        <sz val="9"/>
        <color indexed="8"/>
        <name val="Times New Roman"/>
        <scheme val="none"/>
      </font>
      <fill>
        <patternFill patternType="solid">
          <bgColor theme="0"/>
        </patternFill>
      </fill>
    </dxf>
  </rfmt>
  <rfmt sheetId="32" sqref="E6" start="0" length="0">
    <dxf>
      <font>
        <sz val="9"/>
        <color indexed="8"/>
        <name val="Times New Roman"/>
        <scheme val="none"/>
      </font>
      <numFmt numFmtId="1" formatCode="0"/>
      <fill>
        <patternFill patternType="solid">
          <bgColor theme="0"/>
        </patternFill>
      </fill>
    </dxf>
  </rfmt>
  <rfmt sheetId="32" sqref="F6" start="0" length="0">
    <dxf>
      <font>
        <sz val="9"/>
        <color indexed="8"/>
        <name val="Times New Roman"/>
        <scheme val="none"/>
      </font>
      <fill>
        <patternFill patternType="solid">
          <bgColor theme="0"/>
        </patternFill>
      </fill>
    </dxf>
  </rfmt>
  <rfmt sheetId="32" sqref="G6" start="0" length="0">
    <dxf>
      <font>
        <sz val="9"/>
        <color indexed="8"/>
        <name val="Times New Roman"/>
        <scheme val="none"/>
      </font>
      <numFmt numFmtId="1" formatCode="0"/>
      <fill>
        <patternFill patternType="solid">
          <bgColor theme="0"/>
        </patternFill>
      </fill>
    </dxf>
  </rfmt>
  <rfmt sheetId="32" sqref="H6" start="0" length="0">
    <dxf>
      <font>
        <sz val="9"/>
        <color indexed="8"/>
        <name val="Times New Roman"/>
        <scheme val="none"/>
      </font>
      <fill>
        <patternFill patternType="solid">
          <bgColor theme="0"/>
        </patternFill>
      </fill>
    </dxf>
  </rfmt>
  <rcc rId="9003" sId="32" odxf="1" dxf="1">
    <nc r="A7" t="inlineStr">
      <is>
        <t>Наименование</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04" sId="32" odxf="1" dxf="1">
    <nc r="B7" t="inlineStr">
      <is>
        <t>Общая ширина (рабочая), мм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05" sId="32" odxf="1" dxf="1">
    <nc r="C7" t="inlineStr">
      <is>
        <t>Вид покрытия и толщина, мм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fmt sheetId="32" sqref="D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E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F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G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H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A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B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C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D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E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F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G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H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A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B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C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cc rId="9006" sId="32" odxf="1" dxf="1">
    <nc r="D9" t="inlineStr">
      <is>
        <t>Цинк</t>
      </is>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E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cc rId="9007" sId="32" odxf="1" dxf="1">
    <nc r="F9" t="inlineStr">
      <is>
        <t>ЛКПОЦ-1</t>
      </is>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G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H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A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B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C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cc rId="9008" sId="32" odxf="1" dxf="1">
    <nc r="D10" t="inlineStr">
      <is>
        <t>кв.м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09" sId="32" odxf="1" dxf="1">
    <nc r="E10" t="inlineStr">
      <is>
        <t>п.м.</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rder>
    </odxf>
    <ndxf>
      <font>
        <sz val="9"/>
        <color indexed="8"/>
        <name val="Times New Roman"/>
        <scheme val="none"/>
      </font>
      <numFmt numFmtId="1" formatCode="0"/>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10" sId="32" odxf="1" dxf="1">
    <nc r="F10" t="inlineStr">
      <is>
        <t>кв.м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11" sId="32" odxf="1" dxf="1">
    <nc r="G10" t="inlineStr">
      <is>
        <t>п.м.</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rder>
    </odxf>
    <ndxf>
      <font>
        <sz val="9"/>
        <color indexed="8"/>
        <name val="Times New Roman"/>
        <scheme val="none"/>
      </font>
      <numFmt numFmtId="1" formatCode="0"/>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fmt sheetId="32" sqref="H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2" sId="32" odxf="1" dxf="1">
    <nc r="A11" t="inlineStr">
      <is>
        <t>Металлочерепица "Супермонтеррей"</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ndxf>
  </rcc>
  <rcc rId="9013" sId="32" odxf="1" dxf="1">
    <nc r="B11" t="inlineStr">
      <is>
        <t>1190 (1100)</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ndxf>
  </rcc>
  <rcc rId="9014" sId="32" odxf="1" dxf="1">
    <nc r="C11">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fmt sheetId="32" sqref="D1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ttom style="double">
          <color indexed="59"/>
        </bottom>
      </border>
    </dxf>
  </rfmt>
  <rfmt sheetId="32" sqref="E1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ttom style="double">
          <color indexed="59"/>
        </bottom>
      </border>
    </dxf>
  </rfmt>
  <rcc rId="9015" sId="32" odxf="1" dxf="1">
    <nc r="F11">
      <v>315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fmt sheetId="32" sqref="G11"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medium">
          <color indexed="64"/>
        </top>
        <bottom style="double">
          <color indexed="59"/>
        </bottom>
      </border>
    </dxf>
  </rfmt>
  <rfmt sheetId="32" sqref="H1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B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6" sId="32" odxf="1" dxf="1">
    <nc r="C12"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fmt sheetId="32" sqref="D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E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7" sId="32" odxf="1" dxf="1">
    <nc r="F12">
      <v>330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G12"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double">
          <color indexed="59"/>
        </bottom>
      </border>
    </dxf>
  </rfmt>
  <rfmt sheetId="32" sqref="H1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B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8" sId="32" odxf="1" dxf="1">
    <nc r="C13"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fmt sheetId="32" sqref="D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E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9" sId="32" odxf="1" dxf="1">
    <nc r="F13">
      <v>335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G13"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double">
          <color indexed="59"/>
        </bottom>
      </border>
    </dxf>
  </rfmt>
  <rfmt sheetId="32" sqref="H1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fmt sheetId="32" sqref="B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cc rId="9020" sId="32" odxf="1" dxf="1">
    <nc r="C14">
      <v>0.5</v>
    </nc>
    <odxf>
      <font>
        <sz val="11"/>
        <color theme="1"/>
        <name val="Calibri"/>
        <scheme val="minor"/>
      </font>
      <fill>
        <patternFill patternType="none">
          <bgColor indexed="65"/>
        </patternFill>
      </fill>
      <alignment horizontal="general" vertical="bottom" wrapText="0" readingOrder="0"/>
      <border outline="0">
        <lef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rder>
    </ndxf>
  </rcc>
  <rfmt sheetId="32" sqref="D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fmt sheetId="32" sqref="E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cc rId="9021" sId="32" odxf="1" dxf="1">
    <nc r="F14">
      <v>355</v>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rder>
    </ndxf>
  </rcc>
  <rfmt sheetId="32" sqref="G14"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rder>
    </dxf>
  </rfmt>
  <rfmt sheetId="32" sqref="H1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022" sId="32" odxf="1" dxf="1">
    <nc r="A15" t="inlineStr">
      <is>
        <t>Металлочерепица "Каскад"</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23" sId="32" odxf="1" dxf="1">
    <nc r="B15" t="inlineStr">
      <is>
        <t>1150 (1050)</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24" sId="32" odxf="1" dxf="1">
    <nc r="C15">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fmt sheetId="32" sqref="D15"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E15"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5" sId="32" odxf="1" dxf="1">
    <nc r="F15">
      <v>320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fmt sheetId="32" sqref="G15"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dxf>
  </rfmt>
  <rfmt sheetId="32" sqref="H1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B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6" sId="32" odxf="1" dxf="1">
    <nc r="C16"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fmt sheetId="32" sqref="D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E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7" sId="32" odxf="1" dxf="1">
    <nc r="F16">
      <v>335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fmt sheetId="32" sqref="G16"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dxf>
  </rfmt>
  <rfmt sheetId="32" sqref="H1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B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8" sId="32" odxf="1" dxf="1">
    <nc r="C17"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fmt sheetId="32" sqref="D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E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9" sId="32" odxf="1" dxf="1">
    <nc r="F17">
      <v>340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fmt sheetId="32" sqref="G17"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dxf>
  </rfmt>
  <rfmt sheetId="32" sqref="H1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rder>
    </dxf>
  </rfmt>
  <rfmt sheetId="32" sqref="B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rder>
    </dxf>
  </rfmt>
  <rcc rId="9030" sId="32" odxf="1" dxf="1">
    <nc r="C18">
      <v>0.5</v>
    </nc>
    <odxf>
      <font>
        <sz val="11"/>
        <color theme="1"/>
        <name val="Calibri"/>
        <scheme val="minor"/>
      </font>
      <fill>
        <patternFill patternType="none">
          <bgColor indexed="65"/>
        </patternFill>
      </fill>
      <alignment horizontal="general" vertical="bottom" wrapText="0" readingOrder="0"/>
      <border outline="0">
        <left/>
        <top/>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rder>
    </ndxf>
  </rcc>
  <rfmt sheetId="32" sqref="D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E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cc rId="9031" sId="32" odxf="1" dxf="1">
    <nc r="F18">
      <v>360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ndxf>
  </rcc>
  <rfmt sheetId="32" sqref="G18"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medium">
          <color indexed="64"/>
        </bottom>
      </border>
    </dxf>
  </rfmt>
  <rfmt sheetId="32" sqref="H1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032" sId="32" odxf="1" dxf="1">
    <nc r="A19" t="inlineStr">
      <is>
        <t>С-8</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top style="medium">
          <color indexed="64"/>
        </top>
      </border>
    </ndxf>
  </rcc>
  <rcc rId="9033" sId="32" odxf="1" dxf="1">
    <nc r="B19" t="inlineStr">
      <is>
        <t>1200 (1150)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medium">
          <color indexed="64"/>
        </top>
      </border>
    </ndxf>
  </rcc>
  <rcc rId="9034" sId="32" odxf="1" dxf="1">
    <nc r="C19">
      <v>0.3</v>
    </nc>
    <odxf>
      <font>
        <sz val="11"/>
        <color theme="1"/>
        <name val="Calibri"/>
        <scheme val="minor"/>
      </font>
      <fill>
        <patternFill patternType="none">
          <fgColor indexed="64"/>
          <bgColor indexed="65"/>
        </patternFill>
      </fill>
      <alignment horizontal="general" vertical="bottom" wrapText="0" readingOrder="0"/>
      <border outline="0">
        <lef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top style="medium">
          <color indexed="64"/>
        </top>
        <bottom style="thin">
          <color indexed="64"/>
        </bottom>
      </border>
    </ndxf>
  </rcc>
  <rcc rId="9035" sId="32" odxf="1" dxf="1">
    <nc r="D19">
      <f>E19/1.2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36" sId="32" odxf="1" dxf="1">
    <nc r="E19">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37" sId="32" odxf="1" dxf="1">
    <nc r="F19">
      <f>G19/1.2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38" sId="32" odxf="1" dxf="1" numFmtId="4">
    <nc r="G19">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1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0"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39" sId="32" odxf="1" dxf="1">
    <nc r="C20">
      <v>0.35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40" sId="32" odxf="1" dxf="1">
    <nc r="D20">
      <f>E20/1.2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1" sId="32" odxf="1" dxf="1" numFmtId="4">
    <nc r="E20">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2" sId="32" odxf="1" dxf="1">
    <nc r="F20">
      <f>G20/1.2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3" sId="32" odxf="1" dxf="1" numFmtId="4">
    <nc r="G20">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1"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1"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44" sId="32" odxf="1" dxf="1">
    <nc r="C21">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45" sId="32" odxf="1" dxf="1">
    <nc r="D21">
      <f>E21/1.2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6" sId="32" odxf="1" dxf="1" numFmtId="4">
    <nc r="E21">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7" sId="32" odxf="1" dxf="1">
    <nc r="F21">
      <f>G21/1.2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8" sId="32" odxf="1" dxf="1" numFmtId="4">
    <nc r="G21">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2"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2"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49" sId="32" odxf="1" dxf="1">
    <nc r="C22"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50" sId="32" odxf="1" dxf="1">
    <nc r="D22">
      <f>E22/1.2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1" sId="32" odxf="1" dxf="1" numFmtId="4">
    <nc r="E22">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2" sId="32" odxf="1" dxf="1">
    <nc r="F22">
      <f>G22/1.2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3" sId="32" odxf="1" dxf="1" numFmtId="4">
    <nc r="G22">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3"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3"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54" sId="32" odxf="1" dxf="1">
    <nc r="C23"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55" sId="32" odxf="1" dxf="1">
    <nc r="D23"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6" sId="32" odxf="1" dxf="1">
    <nc r="E23"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7" sId="32" odxf="1" dxf="1">
    <nc r="F23">
      <f>G23/1.2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8" sId="32" odxf="1" dxf="1" numFmtId="4">
    <nc r="G23">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4"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59" sId="32" odxf="1" dxf="1">
    <nc r="C24"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60" sId="32" odxf="1" dxf="1">
    <nc r="D24"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1" sId="32" odxf="1" dxf="1">
    <nc r="E24"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2" sId="32" odxf="1" dxf="1">
    <nc r="F24">
      <f>G24/1.2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3" sId="32" odxf="1" dxf="1" numFmtId="4">
    <nc r="G24">
      <v>400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5"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5"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64" sId="32" odxf="1" dxf="1">
    <nc r="C25">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65" sId="32" odxf="1" dxf="1">
    <nc r="D25">
      <f>E25/1.2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6" sId="32" odxf="1" dxf="1" numFmtId="4">
    <nc r="E25">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7" sId="32" odxf="1" dxf="1">
    <nc r="F25">
      <f>G25/1.2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8" sId="32" odxf="1" dxf="1" numFmtId="4">
    <nc r="G25">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6"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ttom style="medium">
          <color indexed="64"/>
        </bottom>
      </border>
    </dxf>
  </rfmt>
  <rfmt sheetId="32" sqref="B2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ttom style="medium">
          <color indexed="64"/>
        </bottom>
      </border>
    </dxf>
  </rfmt>
  <rcc rId="9069" sId="32" odxf="1" dxf="1">
    <nc r="C26"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medium">
          <color indexed="64"/>
        </bottom>
      </border>
    </ndxf>
  </rcc>
  <rfmt sheetId="32" sqref="D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E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F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G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medium">
          <color indexed="64"/>
        </bottom>
      </border>
    </dxf>
  </rfmt>
  <rfmt sheetId="32" sqref="H2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070" sId="32" odxf="1" dxf="1">
    <nc r="A27" t="inlineStr">
      <is>
        <t>С-10 (А,B); С-20 R</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top style="medium">
          <color indexed="64"/>
        </top>
      </border>
    </ndxf>
  </rcc>
  <rcc rId="9071" sId="32" odxf="1" dxf="1">
    <nc r="B27" t="inlineStr">
      <is>
        <t>1160 (1100)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072" sId="32" odxf="1" dxf="1">
    <nc r="C27">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073" sId="32" odxf="1" dxf="1">
    <nc r="D27">
      <f>E27/1.16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074" sId="32" odxf="1" dxf="1">
    <nc r="E27">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75" sId="32" odxf="1" dxf="1">
    <nc r="F27">
      <f>G27/1.16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076" sId="32" odxf="1" dxf="1" numFmtId="4">
    <nc r="G27">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2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8"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2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77" sId="32" odxf="1" dxf="1">
    <nc r="C28">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078" sId="32" odxf="1" dxf="1">
    <nc r="D28">
      <f>E28/1.16</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079" sId="32" odxf="1" dxf="1" numFmtId="4">
    <nc r="E28">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80" sId="32" odxf="1" dxf="1">
    <nc r="F28">
      <f>G28/1.16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081" sId="32" odxf="1" dxf="1" numFmtId="4">
    <nc r="G28">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9"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2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82" sId="32" odxf="1" dxf="1">
    <nc r="C29">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83" sId="32" odxf="1" dxf="1">
    <nc r="D29">
      <f>E29/1.16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84" sId="32" odxf="1" dxf="1" numFmtId="4">
    <nc r="E29">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85" sId="32" odxf="1" dxf="1">
    <nc r="F29">
      <f>G29/1.16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86" sId="32" odxf="1" dxf="1" numFmtId="4">
    <nc r="G29">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87" sId="32" odxf="1" dxf="1">
    <nc r="C30"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88" sId="32" odxf="1" dxf="1">
    <nc r="D30">
      <f>E30/1.16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89" sId="32" odxf="1" dxf="1" numFmtId="4">
    <nc r="E30">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90" sId="32" odxf="1" dxf="1">
    <nc r="F30">
      <f>G30/1.16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1" sId="32" odxf="1" dxf="1" numFmtId="4">
    <nc r="G30">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1"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92" sId="32" odxf="1" dxf="1">
    <nc r="C31"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93" sId="32" odxf="1" dxf="1">
    <nc r="D31"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4" sId="32" odxf="1" dxf="1">
    <nc r="E31"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95" sId="32" odxf="1" dxf="1">
    <nc r="F31">
      <f>G31/1.16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6" sId="32" odxf="1" dxf="1" numFmtId="4">
    <nc r="G31">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2"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97" sId="32" odxf="1" dxf="1">
    <nc r="C32"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98" sId="32" odxf="1" dxf="1">
    <nc r="D32"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9" sId="32" odxf="1" dxf="1">
    <nc r="E32"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00" sId="32" odxf="1" dxf="1">
    <nc r="F32"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01" sId="32" odxf="1" dxf="1">
    <nc r="G32"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3"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02" sId="32" odxf="1" dxf="1">
    <nc r="C33">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03" sId="32" odxf="1" dxf="1">
    <nc r="D33">
      <f>E33/1.16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04" sId="32" odxf="1" dxf="1" numFmtId="4">
    <nc r="E33">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05" sId="32" odxf="1" dxf="1">
    <nc r="F33">
      <f>G33/1.16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06" sId="32" odxf="1" dxf="1" numFmtId="4">
    <nc r="G33">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ttom style="medium">
          <color indexed="64"/>
        </bottom>
      </border>
    </dxf>
  </rfmt>
  <rfmt sheetId="32" sqref="B3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107" sId="32" odxf="1" dxf="1">
    <nc r="C34"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fmt sheetId="32" sqref="D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E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F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G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dxf>
  </rfmt>
  <rfmt sheetId="32" sqref="H3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108" sId="32" odxf="1" dxf="1">
    <nc r="A35" t="inlineStr">
      <is>
        <t>С-10 (А,B); Равнополочная</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top style="medium">
          <color indexed="64"/>
        </top>
      </border>
    </ndxf>
  </rcc>
  <rcc rId="9109" sId="32" odxf="1" dxf="1">
    <nc r="B35" t="inlineStr">
      <is>
        <t>1180 (1100)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10" sId="32" odxf="1" dxf="1">
    <nc r="C35">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111" sId="32" odxf="1" dxf="1">
    <nc r="D35">
      <f>E35/1.18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12" sId="32" odxf="1" dxf="1">
    <nc r="E35">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113" sId="32" odxf="1" dxf="1">
    <nc r="F35">
      <f>G35/1.18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14" sId="32" odxf="1" dxf="1" numFmtId="4">
    <nc r="G35">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3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6"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6"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15" sId="32" odxf="1" dxf="1">
    <nc r="C36">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16" sId="32" odxf="1" dxf="1">
    <nc r="D36">
      <f>E36/1.18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17" sId="32" odxf="1" dxf="1" numFmtId="4">
    <nc r="E36">
      <v>270</v>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18" sId="32" odxf="1" dxf="1">
    <nc r="F36">
      <f>G36/1.18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19" sId="32" odxf="1" dxf="1" numFmtId="4">
    <nc r="G36">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7"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7"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20" sId="32" odxf="1" dxf="1">
    <nc r="C37">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21" sId="32" odxf="1" dxf="1">
    <nc r="D37">
      <f>E37/1.18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22" sId="32" odxf="1" dxf="1" numFmtId="4">
    <nc r="E37">
      <v>290</v>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23" sId="32" odxf="1" dxf="1">
    <nc r="F37">
      <f>G37/1.18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24" sId="32" odxf="1" dxf="1" numFmtId="4">
    <nc r="G37">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8"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25" sId="32" odxf="1" dxf="1">
    <nc r="C38"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26" sId="32" odxf="1" dxf="1">
    <nc r="D38">
      <f>E38/1.18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27" sId="32" odxf="1" dxf="1" numFmtId="4">
    <nc r="E38">
      <v>315</v>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28" sId="32" odxf="1" dxf="1">
    <nc r="F38">
      <f>G38/1.18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29" sId="32" odxf="1" dxf="1" numFmtId="4">
    <nc r="G38">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9"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30" sId="32" odxf="1" dxf="1">
    <nc r="C39"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31" sId="32" odxf="1" dxf="1">
    <nc r="D39"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32" sId="32" odxf="1" dxf="1">
    <nc r="E39" t="inlineStr">
      <is>
        <t>*</t>
      </is>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33" sId="32" odxf="1" dxf="1">
    <nc r="F39">
      <f>G39/1.18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34" sId="32" odxf="1" dxf="1" numFmtId="4">
    <nc r="G39">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0"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4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35" sId="32" odxf="1" dxf="1">
    <nc r="C40"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36" sId="32" odxf="1" dxf="1">
    <nc r="D40"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37" sId="32" odxf="1" dxf="1">
    <nc r="E40" t="inlineStr">
      <is>
        <t>*</t>
      </is>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38" sId="32" odxf="1" dxf="1">
    <nc r="F40"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39" sId="32" odxf="1" dxf="1">
    <nc r="G40"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1"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4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40" sId="32" odxf="1" dxf="1">
    <nc r="C41">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41" sId="32" odxf="1" dxf="1">
    <nc r="D41">
      <f>E41/1.18</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42" sId="32" odxf="1" dxf="1" numFmtId="4">
    <nc r="E41">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43" sId="32" odxf="1" dxf="1">
    <nc r="F41">
      <f>G41/1.18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44" sId="32" odxf="1" dxf="1" numFmtId="4">
    <nc r="G41">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2"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ttom style="medium">
          <color indexed="64"/>
        </bottom>
      </border>
    </dxf>
  </rfmt>
  <rfmt sheetId="32" sqref="B4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145" sId="32" odxf="1" dxf="1">
    <nc r="C42"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fmt sheetId="32" sqref="D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E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F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G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dxf>
  </rfmt>
  <rfmt sheetId="32" sqref="H4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146" sId="32" odxf="1" dxf="1">
    <nc r="A43" t="inlineStr">
      <is>
        <t>C-21</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top style="medium">
          <color indexed="64"/>
        </top>
      </border>
    </ndxf>
  </rcc>
  <rcc rId="9147" sId="32" odxf="1" dxf="1">
    <nc r="B43" t="inlineStr">
      <is>
        <t>1051 (1000)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48" sId="32" odxf="1" dxf="1">
    <nc r="C43">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149" sId="32" odxf="1" dxf="1">
    <nc r="D43">
      <f>E43/1.051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50" sId="32" odxf="1" dxf="1">
    <nc r="E43">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151" sId="32" odxf="1" dxf="1">
    <nc r="F43">
      <f>G43/1.051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52" sId="32" odxf="1" dxf="1" numFmtId="4">
    <nc r="G43">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4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53" sId="32" odxf="1" dxf="1">
    <nc r="C44">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54" sId="32" odxf="1" dxf="1">
    <nc r="D44">
      <f>E44/1.051</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55" sId="32" odxf="1" dxf="1" numFmtId="4">
    <nc r="E44">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56" sId="32" odxf="1" dxf="1">
    <nc r="F44">
      <f>G44/1.051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57" sId="32" odxf="1" dxf="1" numFmtId="4">
    <nc r="G44">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5"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5"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58" sId="32" odxf="1" dxf="1">
    <nc r="C45">
      <v>0.4</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59" sId="32" odxf="1" dxf="1">
    <nc r="D45">
      <f>E45/1.051</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60" sId="32" odxf="1" dxf="1" numFmtId="4">
    <nc r="E45">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61" sId="32" odxf="1" dxf="1">
    <nc r="F45">
      <f>G45/1.051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62" sId="32" odxf="1" dxf="1" numFmtId="4">
    <nc r="G45">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6"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6"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63" sId="32" odxf="1" dxf="1">
    <nc r="C46"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64" sId="32" odxf="1" dxf="1">
    <nc r="D46">
      <f>E46/1.051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65" sId="32" odxf="1" dxf="1" numFmtId="4">
    <nc r="E46">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66" sId="32" odxf="1" dxf="1">
    <nc r="F46">
      <f>G46/1.051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67" sId="32" odxf="1" dxf="1" numFmtId="4">
    <nc r="G46">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7"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7"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68" sId="32" odxf="1" dxf="1">
    <nc r="C47"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69" sId="32" odxf="1" dxf="1">
    <nc r="D47"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0" sId="32" odxf="1" dxf="1">
    <nc r="E47"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71" sId="32" odxf="1" dxf="1">
    <nc r="F47">
      <f>G47/1.051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2" sId="32" odxf="1" dxf="1" numFmtId="4">
    <nc r="G47">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8"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73" sId="32" odxf="1" dxf="1">
    <nc r="C48"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74" sId="32" odxf="1" dxf="1">
    <nc r="D48"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5" sId="32" odxf="1" dxf="1">
    <nc r="E48"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76" sId="32" odxf="1" dxf="1">
    <nc r="F48"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7" sId="32" odxf="1" dxf="1">
    <nc r="G48"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9"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78" sId="32" odxf="1" dxf="1">
    <nc r="C49">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79" sId="32" odxf="1" dxf="1">
    <nc r="D49">
      <f>E49/1.051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80" sId="32" odxf="1" dxf="1" numFmtId="4">
    <nc r="E49">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81" sId="32" odxf="1" dxf="1">
    <nc r="F49">
      <f>G49/1.051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82" sId="32" odxf="1" dxf="1" numFmtId="4">
    <nc r="G49">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ttom style="medium">
          <color indexed="64"/>
        </bottom>
      </border>
    </dxf>
  </rfmt>
  <rfmt sheetId="32" sqref="B5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183" sId="32" odxf="1" dxf="1">
    <nc r="C50"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fmt sheetId="32" sqref="D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E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F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G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dxf>
  </rfmt>
  <rfmt sheetId="32" sqref="H5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184" sId="32" odxf="1" dxf="1">
    <nc r="A51" t="inlineStr">
      <is>
        <t>Плоский лист</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top style="medium">
          <color indexed="64"/>
        </top>
      </border>
    </ndxf>
  </rcc>
  <rcc rId="9185" sId="32" odxf="1" dxf="1">
    <nc r="B51">
      <v>1250</v>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86" sId="32" odxf="1" dxf="1">
    <nc r="C51">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187" sId="32" odxf="1" dxf="1">
    <nc r="D51">
      <f>E51/1.25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88" sId="32" odxf="1" dxf="1">
    <nc r="E51">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189" sId="32" odxf="1" dxf="1">
    <nc r="F51">
      <f>G51/1.25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90" sId="32" odxf="1" dxf="1" numFmtId="4">
    <nc r="G51">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5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2"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91" sId="32" odxf="1" dxf="1">
    <nc r="C52">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92" sId="32" odxf="1" dxf="1">
    <nc r="D52">
      <f>E52/1.25</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93" sId="32" odxf="1" dxf="1" numFmtId="4">
    <nc r="E52">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94" sId="32" odxf="1" dxf="1">
    <nc r="F52">
      <f>G52/1.25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95" sId="32" odxf="1" dxf="1" numFmtId="4">
    <nc r="G52">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3"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96" sId="32" odxf="1" dxf="1">
    <nc r="C53">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97" sId="32" odxf="1" dxf="1">
    <nc r="D53">
      <f>E53/1.25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98" sId="32" odxf="1" dxf="1" numFmtId="4">
    <nc r="E53">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99" sId="32" odxf="1" dxf="1">
    <nc r="F53">
      <f>G53/1.25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0" sId="32" odxf="1" dxf="1" numFmtId="4">
    <nc r="G53">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01" sId="32" odxf="1" dxf="1">
    <nc r="C54"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02" sId="32" odxf="1" dxf="1">
    <nc r="D54">
      <f>E54/1.25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3" sId="32" odxf="1" dxf="1" numFmtId="4">
    <nc r="E54">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04" sId="32" odxf="1" dxf="1">
    <nc r="F54">
      <f>G54/1.25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5" sId="32" odxf="1" dxf="1" numFmtId="4">
    <nc r="G54">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5"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5"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06" sId="32" odxf="1" dxf="1">
    <nc r="C55"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07" sId="32" odxf="1" dxf="1">
    <nc r="D55"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8" sId="32" odxf="1" dxf="1">
    <nc r="E55"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09" sId="32" odxf="1" dxf="1">
    <nc r="F55">
      <f>G55/1.25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0" sId="32" odxf="1" dxf="1" numFmtId="4">
    <nc r="G55">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6"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6"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11" sId="32" odxf="1" dxf="1">
    <nc r="C56"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12" sId="32" odxf="1" dxf="1">
    <nc r="D56"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3" sId="32" odxf="1" dxf="1">
    <nc r="E56"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14" sId="32" odxf="1" dxf="1">
    <nc r="F56"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5" sId="32" odxf="1" dxf="1">
    <nc r="G56"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7"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7"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16" sId="32" odxf="1" dxf="1">
    <nc r="C57">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17" sId="32" odxf="1" dxf="1">
    <nc r="D57">
      <f>E57/1.25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8" sId="32" odxf="1" dxf="1" numFmtId="4">
    <nc r="E57">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19" sId="32" odxf="1" dxf="1">
    <nc r="F57">
      <f>G57/1.25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0" sId="32" odxf="1" dxf="1" numFmtId="4">
    <nc r="G57">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8"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21" sId="32" odxf="1" dxf="1">
    <nc r="C58">
      <v>0.55000000000000004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22" sId="32" odxf="1" dxf="1">
    <nc r="D58">
      <f>E58/1.25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3" sId="32" odxf="1" dxf="1" numFmtId="4">
    <nc r="E58">
      <v>370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4" sId="32" odxf="1" dxf="1">
    <nc r="F58">
      <f>G58/1.25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5" sId="32" odxf="1" dxf="1" numFmtId="4">
    <nc r="G58">
      <v>435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thin">
          <color indexed="59"/>
        </bottom>
      </border>
    </ndxf>
  </rcc>
  <rfmt sheetId="32" sqref="H5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9"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26" sId="32" odxf="1" dxf="1">
    <nc r="C59">
      <v>0.6</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27" sId="32" odxf="1" dxf="1">
    <nc r="D59">
      <f>E59/1.25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8" sId="32" odxf="1" dxf="1" numFmtId="4">
    <nc r="E59">
      <v>400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9" sId="32" odxf="1" dxf="1">
    <nc r="F59">
      <f>G59/1.25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0" sId="32" odxf="1" dxf="1" numFmtId="4">
    <nc r="G59">
      <v>480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thin">
          <color indexed="59"/>
        </bottom>
      </border>
    </ndxf>
  </rcc>
  <rfmt sheetId="32" sqref="H5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6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6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31" sId="32" odxf="1" dxf="1">
    <nc r="C60">
      <v>0.65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32" sId="32" odxf="1" dxf="1">
    <nc r="D60">
      <f>E60/1.25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3" sId="32" odxf="1" dxf="1" numFmtId="4">
    <nc r="E60">
      <v>420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4" sId="32" odxf="1" dxf="1">
    <nc r="F60">
      <f>G60/1.25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5" sId="32" odxf="1" dxf="1" numFmtId="4">
    <nc r="G60">
      <v>505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thin">
          <color indexed="59"/>
        </bottom>
      </border>
    </ndxf>
  </rcc>
  <rfmt sheetId="32" sqref="H6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61"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ttom style="medium">
          <color indexed="64"/>
        </bottom>
      </border>
    </dxf>
  </rfmt>
  <rfmt sheetId="32" sqref="B6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236" sId="32" odxf="1" dxf="1">
    <nc r="C61">
      <v>0.7</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cc rId="9237" sId="32" odxf="1" dxf="1">
    <nc r="D61">
      <f>E61/1.25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medium">
          <color indexed="64"/>
        </bottom>
      </border>
    </ndxf>
  </rcc>
  <rcc rId="9238" sId="32" odxf="1" dxf="1" numFmtId="4">
    <nc r="E61">
      <v>455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medium">
          <color indexed="64"/>
        </bottom>
      </border>
    </ndxf>
  </rcc>
  <rcc rId="9239" sId="32" odxf="1" dxf="1">
    <nc r="F61">
      <f>G61/1.25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ndxf>
  </rcc>
  <rcc rId="9240" sId="32" odxf="1" dxf="1" numFmtId="4">
    <nc r="G61">
      <v>530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ndxf>
  </rcc>
  <rfmt sheetId="32" sqref="H6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241" sId="32" odxf="1" dxf="1">
    <nc r="A62" t="inlineStr">
      <is>
        <t>Защитная пленка для плоского листа</t>
      </is>
    </nc>
    <odxf>
      <font>
        <sz val="11"/>
        <color theme="1"/>
        <name val="Calibri"/>
        <scheme val="minor"/>
      </font>
      <fill>
        <patternFill patternType="none">
          <bgColor indexed="65"/>
        </patternFill>
      </fill>
      <alignment horizontal="general" vertical="bottom" wrapText="0" readingOrder="0"/>
      <border outline="0">
        <left/>
        <righ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double">
          <color indexed="59"/>
        </bottom>
      </border>
    </ndxf>
  </rcc>
  <rcc rId="9242" sId="32" odxf="1" dxf="1">
    <nc r="B62">
      <v>1250</v>
    </nc>
    <odxf>
      <font>
        <sz val="11"/>
        <color theme="1"/>
        <name val="Calibri"/>
        <scheme val="minor"/>
      </font>
      <fill>
        <patternFill patternType="none">
          <bgColor indexed="65"/>
        </patternFill>
      </fill>
      <alignment horizontal="general" vertical="bottom" wrapText="0" readingOrder="0"/>
      <border outline="0">
        <left/>
        <righ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double">
          <color indexed="59"/>
        </bottom>
      </border>
    </ndxf>
  </rcc>
  <rfmt sheetId="32" sqref="C6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bottom style="double">
          <color indexed="59"/>
        </bottom>
      </border>
    </dxf>
  </rfmt>
  <rfmt sheetId="32" sqref="D6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fmt sheetId="32" sqref="E6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243" sId="32" odxf="1" dxf="1">
    <nc r="F62">
      <f>G62/1.25</f>
    </nc>
    <odxf>
      <font>
        <sz val="11"/>
        <color theme="1"/>
        <name val="Calibri"/>
        <scheme val="minor"/>
      </font>
      <fill>
        <patternFill patternType="none">
          <fgColor indexed="64"/>
          <bgColor indexed="65"/>
        </patternFill>
      </fill>
      <alignment horizontal="general" vertical="bottom" wrapText="0" readingOrder="0"/>
      <border outline="0">
        <left/>
        <right/>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bottom style="medium">
          <color indexed="64"/>
        </bottom>
      </border>
    </ndxf>
  </rcc>
  <rcc rId="9244" sId="32" odxf="1" dxf="1" numFmtId="4">
    <nc r="G62">
      <v>15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165" formatCode="0.0"/>
      <fill>
        <patternFill patternType="solid">
          <fgColor indexed="23"/>
          <bgColor theme="0"/>
        </patternFill>
      </fill>
      <alignment horizontal="center" vertical="distributed" wrapText="1" readingOrder="0"/>
      <border outline="0">
        <left style="thin">
          <color indexed="59"/>
        </left>
        <right style="medium">
          <color indexed="64"/>
        </right>
        <bottom style="medium">
          <color indexed="64"/>
        </bottom>
      </border>
    </ndxf>
  </rcc>
  <rfmt sheetId="32" sqref="H6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245" sId="32" odxf="1" dxf="1">
    <nc r="A63" t="inlineStr">
      <is>
        <t xml:space="preserve">Металл толщиной 0,45 стандарт  RAL 3005, 6005, 8017, 5005, 9003 </t>
      </is>
    </nc>
    <odxf>
      <font>
        <sz val="11"/>
        <color theme="1"/>
        <name val="Calibri"/>
        <scheme val="minor"/>
      </font>
      <fill>
        <patternFill patternType="none">
          <bgColor indexed="65"/>
        </patternFill>
      </fill>
    </odxf>
    <ndxf>
      <font>
        <sz val="8"/>
        <color indexed="8"/>
        <name val="Times New Roman"/>
        <scheme val="none"/>
      </font>
      <fill>
        <patternFill patternType="solid">
          <bgColor theme="0"/>
        </patternFill>
      </fill>
    </ndxf>
  </rcc>
  <rfmt sheetId="32" sqref="B63" start="0" length="0">
    <dxf>
      <font>
        <sz val="8"/>
        <color indexed="8"/>
        <name val="Times New Roman"/>
        <scheme val="none"/>
      </font>
      <fill>
        <patternFill patternType="solid">
          <bgColor theme="0"/>
        </patternFill>
      </fill>
    </dxf>
  </rfmt>
  <rfmt sheetId="32" sqref="C63" start="0" length="0">
    <dxf>
      <font>
        <sz val="8"/>
        <color indexed="8"/>
        <name val="Times New Roman"/>
        <scheme val="none"/>
      </font>
      <fill>
        <patternFill patternType="solid">
          <bgColor theme="0"/>
        </patternFill>
      </fill>
    </dxf>
  </rfmt>
  <rfmt sheetId="32" sqref="D63" start="0" length="0">
    <dxf>
      <font>
        <sz val="8"/>
        <color indexed="8"/>
        <name val="Times New Roman"/>
        <scheme val="none"/>
      </font>
      <fill>
        <patternFill patternType="solid">
          <bgColor theme="0"/>
        </patternFill>
      </fill>
    </dxf>
  </rfmt>
  <rfmt sheetId="32" sqref="E63" start="0" length="0">
    <dxf>
      <font>
        <sz val="8"/>
        <color indexed="8"/>
        <name val="Times New Roman"/>
        <scheme val="none"/>
      </font>
      <numFmt numFmtId="1" formatCode="0"/>
      <fill>
        <patternFill patternType="solid">
          <bgColor theme="0"/>
        </patternFill>
      </fill>
    </dxf>
  </rfmt>
  <rfmt sheetId="32" sqref="F63" start="0" length="0">
    <dxf>
      <font>
        <sz val="8"/>
        <color indexed="8"/>
        <name val="Times New Roman"/>
        <scheme val="none"/>
      </font>
      <fill>
        <patternFill patternType="solid">
          <bgColor theme="0"/>
        </patternFill>
      </fill>
    </dxf>
  </rfmt>
  <rfmt sheetId="32" sqref="G63" start="0" length="0">
    <dxf>
      <font>
        <sz val="8"/>
        <color indexed="8"/>
        <name val="Times New Roman"/>
        <scheme val="none"/>
      </font>
      <numFmt numFmtId="1" formatCode="0"/>
      <fill>
        <patternFill patternType="solid">
          <bgColor theme="0"/>
        </patternFill>
      </fill>
    </dxf>
  </rfmt>
  <rfmt sheetId="32" sqref="H63" start="0" length="0">
    <dxf>
      <font>
        <sz val="8"/>
        <color indexed="8"/>
        <name val="Calibri"/>
        <scheme val="none"/>
      </font>
      <fill>
        <patternFill patternType="solid">
          <bgColor theme="0"/>
        </patternFill>
      </fill>
    </dxf>
  </rfmt>
  <rcc rId="9246" sId="32" odxf="1" dxf="1">
    <nc r="A64" t="inlineStr">
      <is>
        <t>Металл толщиной 0,45 мм не стандарт RAL 3011, 3009, 6002, 5002, 1014, 5021, 7004,9002,9006</t>
      </is>
    </nc>
    <odxf>
      <font>
        <sz val="11"/>
        <color theme="1"/>
        <name val="Calibri"/>
        <scheme val="minor"/>
      </font>
      <fill>
        <patternFill patternType="none">
          <bgColor indexed="65"/>
        </patternFill>
      </fill>
      <alignment horizontal="general" vertical="bottom" wrapText="0" readingOrder="0"/>
    </odxf>
    <ndxf>
      <font>
        <sz val="8"/>
        <color indexed="8"/>
        <name val="Times New Roman"/>
        <scheme val="none"/>
      </font>
      <fill>
        <patternFill patternType="solid">
          <bgColor theme="0"/>
        </patternFill>
      </fill>
      <alignment horizontal="left" vertical="distributed" wrapText="1" readingOrder="0"/>
    </ndxf>
  </rcc>
  <rfmt sheetId="32" sqref="B64" start="0" length="0">
    <dxf>
      <font>
        <sz val="8"/>
        <color indexed="8"/>
        <name val="Times New Roman"/>
        <scheme val="none"/>
      </font>
      <fill>
        <patternFill patternType="solid">
          <bgColor theme="0"/>
        </patternFill>
      </fill>
      <alignment horizontal="left" vertical="distributed" wrapText="1" readingOrder="0"/>
    </dxf>
  </rfmt>
  <rfmt sheetId="32" sqref="C64" start="0" length="0">
    <dxf>
      <font>
        <sz val="8"/>
        <color indexed="8"/>
        <name val="Times New Roman"/>
        <scheme val="none"/>
      </font>
      <fill>
        <patternFill patternType="solid">
          <bgColor theme="0"/>
        </patternFill>
      </fill>
      <alignment horizontal="left" vertical="distributed" wrapText="1" readingOrder="0"/>
    </dxf>
  </rfmt>
  <rfmt sheetId="32" sqref="D64" start="0" length="0">
    <dxf>
      <font>
        <sz val="8"/>
        <color indexed="8"/>
        <name val="Times New Roman"/>
        <scheme val="none"/>
      </font>
      <fill>
        <patternFill patternType="solid">
          <bgColor theme="0"/>
        </patternFill>
      </fill>
      <alignment horizontal="left" vertical="distributed" wrapText="1" readingOrder="0"/>
    </dxf>
  </rfmt>
  <rfmt sheetId="32" sqref="E64" start="0" length="0">
    <dxf>
      <font>
        <sz val="8"/>
        <color indexed="8"/>
        <name val="Times New Roman"/>
        <scheme val="none"/>
      </font>
      <fill>
        <patternFill patternType="solid">
          <bgColor theme="0"/>
        </patternFill>
      </fill>
      <alignment horizontal="left" vertical="distributed" wrapText="1" readingOrder="0"/>
    </dxf>
  </rfmt>
  <rfmt sheetId="32" sqref="F64" start="0" length="0">
    <dxf>
      <font>
        <sz val="8"/>
        <color indexed="8"/>
        <name val="Times New Roman"/>
        <scheme val="none"/>
      </font>
      <fill>
        <patternFill patternType="solid">
          <bgColor theme="0"/>
        </patternFill>
      </fill>
      <alignment horizontal="left" vertical="distributed" wrapText="1" readingOrder="0"/>
    </dxf>
  </rfmt>
  <rfmt sheetId="32" sqref="G64" start="0" length="0">
    <dxf>
      <font>
        <sz val="8"/>
        <color indexed="8"/>
        <name val="Times New Roman"/>
        <scheme val="none"/>
      </font>
      <fill>
        <patternFill patternType="solid">
          <bgColor theme="0"/>
        </patternFill>
      </fill>
      <alignment horizontal="left" vertical="distributed" wrapText="1" readingOrder="0"/>
    </dxf>
  </rfmt>
  <rfmt sheetId="32" sqref="H64" start="0" length="0">
    <dxf>
      <font>
        <sz val="8"/>
        <color indexed="8"/>
        <name val="Calibri"/>
        <scheme val="none"/>
      </font>
      <fill>
        <patternFill patternType="solid">
          <bgColor theme="0"/>
        </patternFill>
      </fill>
    </dxf>
  </rfmt>
  <rfmt sheetId="32" sqref="A65" start="0" length="0">
    <dxf>
      <font>
        <sz val="8"/>
        <color indexed="8"/>
        <name val="Times New Roman"/>
        <scheme val="none"/>
      </font>
      <fill>
        <patternFill patternType="solid">
          <bgColor theme="0"/>
        </patternFill>
      </fill>
    </dxf>
  </rfmt>
  <rfmt sheetId="32" sqref="B65" start="0" length="0">
    <dxf>
      <font>
        <sz val="8"/>
        <color indexed="8"/>
        <name val="Times New Roman"/>
        <scheme val="none"/>
      </font>
      <numFmt numFmtId="1" formatCode="0"/>
      <fill>
        <patternFill patternType="solid">
          <bgColor theme="0"/>
        </patternFill>
      </fill>
    </dxf>
  </rfmt>
  <rfmt sheetId="32" sqref="C65" start="0" length="0">
    <dxf>
      <font>
        <sz val="8"/>
        <color indexed="8"/>
        <name val="Times New Roman"/>
        <scheme val="none"/>
      </font>
      <fill>
        <patternFill patternType="solid">
          <bgColor theme="0"/>
        </patternFill>
      </fill>
    </dxf>
  </rfmt>
  <rfmt sheetId="32" sqref="D65" start="0" length="0">
    <dxf>
      <font>
        <sz val="8"/>
        <color indexed="8"/>
        <name val="Times New Roman"/>
        <scheme val="none"/>
      </font>
      <fill>
        <patternFill patternType="solid">
          <bgColor theme="0"/>
        </patternFill>
      </fill>
    </dxf>
  </rfmt>
  <rfmt sheetId="32" sqref="E65" start="0" length="0">
    <dxf>
      <font>
        <sz val="8"/>
        <color indexed="8"/>
        <name val="Times New Roman"/>
        <scheme val="none"/>
      </font>
      <numFmt numFmtId="1" formatCode="0"/>
      <fill>
        <patternFill patternType="solid">
          <bgColor theme="0"/>
        </patternFill>
      </fill>
    </dxf>
  </rfmt>
  <rfmt sheetId="32" sqref="F65" start="0" length="0">
    <dxf>
      <font>
        <sz val="8"/>
        <color indexed="8"/>
        <name val="Times New Roman"/>
        <scheme val="none"/>
      </font>
      <fill>
        <patternFill patternType="solid">
          <bgColor theme="0"/>
        </patternFill>
      </fill>
    </dxf>
  </rfmt>
  <rfmt sheetId="32" sqref="G65" start="0" length="0">
    <dxf>
      <font>
        <sz val="8"/>
        <color indexed="8"/>
        <name val="Times New Roman"/>
        <scheme val="none"/>
      </font>
      <numFmt numFmtId="1" formatCode="0"/>
      <fill>
        <patternFill patternType="solid">
          <bgColor theme="0"/>
        </patternFill>
      </fill>
    </dxf>
  </rfmt>
  <rfmt sheetId="32" sqref="H65" start="0" length="0">
    <dxf>
      <font>
        <sz val="8"/>
        <color indexed="8"/>
        <name val="Times New Roman"/>
        <scheme val="none"/>
      </font>
      <fill>
        <patternFill patternType="solid">
          <bgColor theme="0"/>
        </patternFill>
      </fill>
    </dxf>
  </rfmt>
  <rfmt sheetId="32" sqref="A66" start="0" length="0">
    <dxf>
      <font>
        <sz val="8"/>
        <color indexed="8"/>
        <name val="Times New Roman"/>
        <scheme val="none"/>
      </font>
      <fill>
        <patternFill patternType="solid">
          <bgColor theme="0"/>
        </patternFill>
      </fill>
    </dxf>
  </rfmt>
  <rfmt sheetId="32" sqref="B66" start="0" length="0">
    <dxf>
      <font>
        <sz val="8"/>
        <color indexed="8"/>
        <name val="Times New Roman"/>
        <scheme val="none"/>
      </font>
      <numFmt numFmtId="1" formatCode="0"/>
      <fill>
        <patternFill patternType="solid">
          <bgColor theme="0"/>
        </patternFill>
      </fill>
    </dxf>
  </rfmt>
  <rfmt sheetId="32" sqref="C66" start="0" length="0">
    <dxf>
      <font>
        <sz val="8"/>
        <color indexed="8"/>
        <name val="Times New Roman"/>
        <scheme val="none"/>
      </font>
      <fill>
        <patternFill patternType="solid">
          <bgColor theme="0"/>
        </patternFill>
      </fill>
    </dxf>
  </rfmt>
  <rfmt sheetId="32" sqref="D66" start="0" length="0">
    <dxf>
      <font>
        <sz val="8"/>
        <color indexed="8"/>
        <name val="Calibri"/>
        <scheme val="none"/>
      </font>
      <fill>
        <patternFill patternType="solid">
          <bgColor theme="0"/>
        </patternFill>
      </fill>
    </dxf>
  </rfmt>
  <rfmt sheetId="32" sqref="E66" start="0" length="0">
    <dxf>
      <font>
        <sz val="8"/>
        <color indexed="8"/>
        <name val="Calibri"/>
        <scheme val="none"/>
      </font>
      <numFmt numFmtId="1" formatCode="0"/>
      <fill>
        <patternFill patternType="solid">
          <bgColor theme="0"/>
        </patternFill>
      </fill>
    </dxf>
  </rfmt>
  <rfmt sheetId="32" sqref="F66" start="0" length="0">
    <dxf>
      <font>
        <sz val="8"/>
        <color indexed="8"/>
        <name val="Calibri"/>
        <scheme val="none"/>
      </font>
      <fill>
        <patternFill patternType="solid">
          <bgColor theme="0"/>
        </patternFill>
      </fill>
    </dxf>
  </rfmt>
  <rfmt sheetId="32" sqref="G66" start="0" length="0">
    <dxf>
      <font>
        <sz val="8"/>
        <color indexed="8"/>
        <name val="Calibri"/>
        <scheme val="none"/>
      </font>
      <numFmt numFmtId="1" formatCode="0"/>
      <fill>
        <patternFill patternType="solid">
          <bgColor theme="0"/>
        </patternFill>
      </fill>
    </dxf>
  </rfmt>
  <rfmt sheetId="32" sqref="H66" start="0" length="0">
    <dxf>
      <font>
        <sz val="8"/>
        <color indexed="8"/>
        <name val="Calibri"/>
        <scheme val="none"/>
      </font>
      <fill>
        <patternFill patternType="solid">
          <bgColor theme="0"/>
        </patternFill>
      </fill>
    </dxf>
  </rfmt>
  <rcc rId="9247" sId="32" xfDxf="1" dxf="1">
    <nc r="A4" t="inlineStr">
      <is>
        <t>ООО "ЦЕНТР-ТИМ"   Платонов Иван 89536104242  centrtim57@mail.ru  28/03/19</t>
      </is>
    </nc>
  </rcc>
  <rfmt sheetId="32" sqref="A4" start="0" length="2147483647">
    <dxf>
      <font>
        <sz val="22"/>
      </font>
    </dxf>
  </rfmt>
  <rfmt sheetId="32" sqref="A4:H4">
    <dxf>
      <fill>
        <patternFill patternType="solid">
          <bgColor rgb="FF00B0F0"/>
        </patternFill>
      </fill>
    </dxf>
  </rfmt>
  <rfmt sheetId="32" sqref="C6" start="0" length="2147483647">
    <dxf>
      <font>
        <b/>
      </font>
    </dxf>
  </rfmt>
  <rfmt sheetId="32" sqref="C6">
    <dxf>
      <alignment horizontal="left" readingOrder="0"/>
    </dxf>
  </rfmt>
  <rfmt sheetId="32" sqref="C6">
    <dxf>
      <alignment horizontal="center" readingOrder="0"/>
    </dxf>
  </rfmt>
  <rfmt sheetId="32" sqref="C6">
    <dxf>
      <alignment horizontal="right" readingOrder="0"/>
    </dxf>
  </rfmt>
  <rfmt sheetId="32" sqref="C6">
    <dxf>
      <alignment horizontal="center" readingOrder="0"/>
    </dxf>
  </rfmt>
  <rcc rId="9248" sId="32">
    <nc r="F3" t="inlineStr">
      <is>
        <t>Производство Завода М</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1111.xml><?xml version="1.0" encoding="utf-8"?>
<revisions xmlns="http://schemas.openxmlformats.org/spreadsheetml/2006/main" xmlns:r="http://schemas.openxmlformats.org/officeDocument/2006/relationships">
  <ris rId="7709" sheetId="27" name="[ПРАЙС ЦЕНТР-ТИМ 2019 обновленный.xlsx]Кровельная Вентиляция ДЕКЕ" sheetPosition="26"/>
  <rcc rId="7710" sId="27" odxf="1" dxf="1">
    <nc r="A3" t="inlineStr">
      <is>
        <t>Наименование</t>
      </is>
    </nc>
    <odxf>
      <font>
        <b val="0"/>
        <sz val="11"/>
        <color theme="1"/>
        <name val="Calibri"/>
        <scheme val="minor"/>
      </font>
      <alignment horizontal="general" vertical="bottom" wrapText="0" readingOrder="0"/>
      <border outline="0">
        <left/>
        <right/>
        <top/>
        <bottom/>
      </border>
    </odxf>
    <ndxf>
      <font>
        <b/>
        <sz val="20"/>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7711" sId="27" odxf="1" dxf="1">
    <nc r="B3" t="inlineStr">
      <is>
        <t>Кол-во  в упаковке</t>
      </is>
    </nc>
    <odxf>
      <font>
        <b val="0"/>
        <sz val="11"/>
        <color theme="1"/>
        <name val="Calibri"/>
        <scheme val="minor"/>
      </font>
      <alignment horizontal="general" vertical="bottom" wrapText="0" readingOrder="0"/>
      <border outline="0">
        <right/>
        <top/>
        <bottom/>
      </border>
    </odxf>
    <ndxf>
      <font>
        <b/>
        <sz val="11"/>
        <color auto="1"/>
        <name val="Arial Narrow"/>
        <scheme val="none"/>
      </font>
      <alignment horizontal="center" vertical="center" wrapText="1" readingOrder="0"/>
      <border outline="0">
        <right style="medium">
          <color indexed="64"/>
        </right>
        <top style="medium">
          <color indexed="64"/>
        </top>
        <bottom style="medium">
          <color indexed="64"/>
        </bottom>
      </border>
    </ndxf>
  </rcc>
  <rfmt sheetId="27" sqref="C3" start="0" length="0">
    <dxf>
      <font>
        <b/>
        <sz val="11"/>
        <color auto="1"/>
        <name val="Arial Narrow"/>
        <scheme val="none"/>
      </font>
      <fill>
        <patternFill patternType="solid">
          <bgColor theme="0"/>
        </patternFill>
      </fill>
      <alignment horizontal="center" vertical="center" wrapText="1" readingOrder="0"/>
    </dxf>
  </rfmt>
  <rcc rId="7712" sId="27" odxf="1" dxf="1">
    <nc r="D3" t="inlineStr">
      <is>
        <t>Для Кровельных и Торгующих Организаций</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medium">
          <color indexed="64"/>
        </left>
        <right style="thin">
          <color indexed="64"/>
        </right>
        <top style="medium">
          <color indexed="64"/>
        </top>
        <bottom style="medium">
          <color indexed="64"/>
        </bottom>
      </border>
    </ndxf>
  </rcc>
  <rcc rId="7713" sId="27"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medium">
          <color indexed="64"/>
        </top>
        <bottom style="medium">
          <color indexed="64"/>
        </bottom>
      </border>
    </ndxf>
  </rcc>
  <rcc rId="7714" sId="27"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thin">
          <color indexed="64"/>
        </left>
        <right style="medium">
          <color indexed="64"/>
        </right>
        <top style="medium">
          <color indexed="64"/>
        </top>
        <bottom style="medium">
          <color indexed="64"/>
        </bottom>
      </border>
    </ndxf>
  </rcc>
  <rfmt sheetId="27" sqref="G3" start="0" length="0">
    <dxf>
      <font>
        <sz val="9"/>
        <color theme="1"/>
        <name val="Arial Narrow"/>
        <scheme val="none"/>
      </font>
      <fill>
        <patternFill patternType="solid">
          <bgColor theme="0"/>
        </patternFill>
      </fill>
      <alignment horizontal="center" vertical="center" readingOrder="0"/>
    </dxf>
  </rfmt>
  <rfmt sheetId="27" sqref="A4" start="0" length="0">
    <dxf>
      <font>
        <sz val="11"/>
        <color auto="1"/>
        <name val="Arial Narrow"/>
        <scheme val="none"/>
      </font>
      <fill>
        <patternFill patternType="solid">
          <bgColor theme="0"/>
        </patternFill>
      </fill>
      <alignment vertical="center" readingOrder="0"/>
    </dxf>
  </rfmt>
  <rfmt sheetId="27" sqref="B4" start="0" length="0">
    <dxf>
      <font>
        <sz val="11"/>
        <color auto="1"/>
        <name val="Arial Narrow"/>
        <scheme val="none"/>
      </font>
      <fill>
        <patternFill patternType="solid">
          <bgColor theme="0"/>
        </patternFill>
      </fill>
      <alignment vertical="center" readingOrder="0"/>
    </dxf>
  </rfmt>
  <rfmt sheetId="27" sqref="C4" start="0" length="0">
    <dxf>
      <font>
        <sz val="11"/>
        <color auto="1"/>
        <name val="Arial Narrow"/>
        <scheme val="none"/>
      </font>
      <fill>
        <patternFill patternType="solid">
          <bgColor theme="0"/>
        </patternFill>
      </fill>
      <alignment vertical="center" readingOrder="0"/>
    </dxf>
  </rfmt>
  <rfmt sheetId="27" sqref="D4" start="0" length="0">
    <dxf>
      <font>
        <sz val="11"/>
        <color auto="1"/>
        <name val="Arial Narrow"/>
        <scheme val="none"/>
      </font>
      <fill>
        <patternFill patternType="solid">
          <bgColor theme="0"/>
        </patternFill>
      </fill>
      <alignment vertical="center" readingOrder="0"/>
    </dxf>
  </rfmt>
  <rfmt sheetId="27" sqref="E4" start="0" length="0">
    <dxf>
      <font>
        <b/>
        <u/>
        <sz val="11"/>
        <color auto="1"/>
        <name val="Arial Narrow"/>
        <scheme val="none"/>
      </font>
      <fill>
        <patternFill patternType="solid">
          <bgColor theme="0"/>
        </patternFill>
      </fill>
      <alignment vertical="center" readingOrder="0"/>
    </dxf>
  </rfmt>
  <rcc rId="7715" sId="27" odxf="1" dxf="1">
    <nc r="F4" t="inlineStr">
      <is>
        <t>8 919 263 06 07 Дмитрий</t>
      </is>
    </nc>
    <odxf>
      <font>
        <b val="0"/>
        <u val="none"/>
        <sz val="11"/>
        <color theme="1"/>
        <name val="Calibri"/>
        <scheme val="minor"/>
      </font>
      <fill>
        <patternFill patternType="none">
          <bgColor indexed="65"/>
        </patternFill>
      </fill>
      <alignment vertical="bottom" readingOrder="0"/>
    </odxf>
    <ndxf>
      <font>
        <b/>
        <u/>
        <sz val="11"/>
        <color auto="1"/>
        <name val="Arial Narrow"/>
        <scheme val="none"/>
      </font>
      <fill>
        <patternFill patternType="solid">
          <bgColor theme="0"/>
        </patternFill>
      </fill>
      <alignment vertical="center" readingOrder="0"/>
    </ndxf>
  </rcc>
  <rfmt sheetId="27" sqref="G4" start="0" length="0">
    <dxf>
      <font>
        <b/>
        <u/>
        <sz val="11"/>
        <color theme="1"/>
        <name val="Arial Narrow"/>
        <scheme val="none"/>
      </font>
      <fill>
        <patternFill patternType="solid">
          <bgColor theme="0"/>
        </patternFill>
      </fill>
      <alignment vertical="center" readingOrder="0"/>
    </dxf>
  </rfmt>
  <rcc rId="7716" sId="27" odxf="1" dxf="1">
    <nc r="A5" t="inlineStr">
      <is>
        <t>Коньковый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717" sId="27"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7" sqref="C5" start="0" length="0">
    <dxf>
      <font>
        <b/>
        <sz val="11"/>
        <color auto="1"/>
        <name val="Arial Narrow"/>
        <scheme val="none"/>
      </font>
      <numFmt numFmtId="2" formatCode="0.00"/>
      <fill>
        <patternFill patternType="solid">
          <bgColor theme="0"/>
        </patternFill>
      </fill>
      <alignment horizontal="center" vertical="center" readingOrder="0"/>
    </dxf>
  </rfmt>
  <rfmt sheetId="27"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7" sqref="E5" start="0" length="0">
    <dxf>
      <fill>
        <patternFill patternType="solid">
          <bgColor rgb="FFFFFF00"/>
        </patternFill>
      </fill>
      <alignment vertical="center" wrapText="1" readingOrder="0"/>
      <border outline="0">
        <top style="thin">
          <color indexed="64"/>
        </top>
        <bottom style="double">
          <color indexed="64"/>
        </bottom>
      </border>
    </dxf>
  </rfmt>
  <rfmt sheetId="27"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7" sqref="G5" start="0" length="0">
    <dxf>
      <font>
        <b/>
        <sz val="11"/>
        <color theme="1"/>
        <name val="Arial Narrow"/>
        <scheme val="none"/>
      </font>
      <fill>
        <patternFill patternType="solid">
          <bgColor theme="0"/>
        </patternFill>
      </fill>
      <alignment vertical="center" readingOrder="0"/>
    </dxf>
  </rfmt>
  <rcc rId="7718" sId="27" odxf="1" dxf="1">
    <nc r="A6" t="inlineStr">
      <is>
        <r>
          <rPr>
            <b/>
            <sz val="11"/>
            <rFont val="Arial Narrow"/>
            <family val="2"/>
            <charset val="204"/>
          </rPr>
          <t xml:space="preserve">Аэратор </t>
        </r>
        <r>
          <rPr>
            <sz val="11"/>
            <rFont val="Arial Narrow"/>
            <family val="2"/>
            <charset val="204"/>
          </rPr>
          <t>конькоый Döcke PIE, 1 п.м.</t>
        </r>
      </is>
    </nc>
    <odxf>
      <font>
        <sz val="11"/>
        <color theme="1"/>
        <name val="Calibri"/>
        <scheme val="minor"/>
      </font>
      <fill>
        <patternFill patternType="none">
          <bgColor indexed="65"/>
        </patternFill>
      </fill>
      <alignment vertical="bottom" readingOrder="0"/>
      <border outline="0">
        <left/>
        <right/>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bottom style="thin">
          <color indexed="64"/>
        </bottom>
      </border>
    </ndxf>
  </rcc>
  <rcc rId="7719" sId="27" odxf="1" dxf="1">
    <nc r="B6">
      <v>12</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27" sqref="C6" start="0" length="0">
    <dxf>
      <font>
        <sz val="11"/>
        <color auto="1"/>
        <name val="Arial Narrow"/>
        <scheme val="none"/>
      </font>
      <fill>
        <patternFill patternType="solid">
          <bgColor theme="0"/>
        </patternFill>
      </fill>
      <alignment horizontal="center" vertical="center" readingOrder="0"/>
    </dxf>
  </rfmt>
  <rcc rId="7720" sId="27" odxf="1" dxf="1" numFmtId="4">
    <nc r="D6">
      <v>377.75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721" sId="27" odxf="1" dxf="1" numFmtId="4">
    <nc r="E6">
      <v>441.52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22" sId="27" odxf="1" dxf="1" numFmtId="4">
    <nc r="F6">
      <v>490.58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7" sqref="G6" start="0" length="0">
    <dxf>
      <font>
        <sz val="11"/>
        <color rgb="FFFF0000"/>
        <name val="Arial Narrow"/>
        <scheme val="none"/>
      </font>
      <fill>
        <patternFill patternType="solid">
          <bgColor theme="0"/>
        </patternFill>
      </fill>
      <alignment vertical="center" readingOrder="0"/>
    </dxf>
  </rfmt>
  <rcc rId="7723" sId="27" odxf="1" dxf="1">
    <nc r="A7" t="inlineStr">
      <is>
        <r>
          <rPr>
            <b/>
            <sz val="11"/>
            <rFont val="Arial Narrow"/>
            <family val="2"/>
            <charset val="204"/>
          </rPr>
          <t xml:space="preserve">Фильтр </t>
        </r>
        <r>
          <rPr>
            <sz val="11"/>
            <rFont val="Arial Narrow"/>
            <family val="2"/>
            <charset val="204"/>
          </rPr>
          <t>для конькового аэратора Döcke, уп=12 шт</t>
        </r>
      </is>
    </nc>
    <odxf>
      <font>
        <sz val="11"/>
        <color theme="1"/>
        <name val="Calibri"/>
        <scheme val="minor"/>
      </font>
      <fill>
        <patternFill patternType="none">
          <bgColor indexed="65"/>
        </patternFill>
      </fill>
      <alignment vertical="bottom" readingOrder="0"/>
      <border outline="0">
        <left/>
        <right/>
        <top/>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rder>
    </ndxf>
  </rcc>
  <rcc rId="7724" sId="27" odxf="1" dxf="1">
    <nc r="B7">
      <v>12</v>
    </nc>
    <odxf>
      <font>
        <b val="0"/>
        <sz val="11"/>
        <color theme="1"/>
        <name val="Calibri"/>
        <scheme val="minor"/>
      </font>
      <fill>
        <patternFill patternType="none">
          <bgColor indexed="65"/>
        </patternFill>
      </fill>
      <alignment horizontal="general" vertical="bottom" readingOrder="0"/>
      <border outline="0">
        <left/>
        <right/>
        <top/>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rder>
    </ndxf>
  </rcc>
  <rfmt sheetId="27" sqref="C7" start="0" length="0">
    <dxf>
      <font>
        <sz val="11"/>
        <color auto="1"/>
        <name val="Arial Narrow"/>
        <scheme val="none"/>
      </font>
      <fill>
        <patternFill patternType="solid">
          <bgColor theme="0"/>
        </patternFill>
      </fill>
      <alignment horizontal="center" vertical="center" readingOrder="0"/>
    </dxf>
  </rfmt>
  <rcc rId="7725" sId="27" odxf="1" dxf="1" numFmtId="4">
    <nc r="D7">
      <v>61.42</v>
    </nc>
    <odxf>
      <font>
        <sz val="11"/>
        <color theme="1"/>
        <name val="Calibri"/>
        <scheme val="minor"/>
      </font>
      <numFmt numFmtId="0" formatCode="General"/>
      <fill>
        <patternFill patternType="none">
          <bgColor indexed="65"/>
        </patternFill>
      </fill>
      <alignment horizontal="general" vertical="bottom" readingOrder="0"/>
      <border outline="0">
        <left/>
        <right/>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rder>
    </ndxf>
  </rcc>
  <rcc rId="7726" sId="27" odxf="1" dxf="1" numFmtId="4">
    <nc r="E7">
      <v>71.790000000000006</v>
    </nc>
    <odxf>
      <font>
        <sz val="11"/>
        <color theme="1"/>
        <name val="Calibri"/>
        <scheme val="minor"/>
      </font>
      <numFmt numFmtId="0" formatCode="General"/>
      <fill>
        <patternFill patternType="none">
          <bgColor indexed="65"/>
        </patternFill>
      </fill>
      <alignment horizontal="general" vertical="bottom" readingOrder="0"/>
      <border outline="0">
        <left/>
        <right/>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rder>
    </ndxf>
  </rcc>
  <rcc rId="7727" sId="27" odxf="1" dxf="1" numFmtId="4">
    <nc r="F7">
      <v>79.760000000000005</v>
    </nc>
    <odxf>
      <font>
        <sz val="11"/>
        <color theme="1"/>
        <name val="Calibri"/>
        <scheme val="minor"/>
      </font>
      <numFmt numFmtId="0" formatCode="General"/>
      <fill>
        <patternFill patternType="none">
          <bgColor indexed="65"/>
        </patternFill>
      </fill>
      <alignment horizontal="general" vertical="bottom" readingOrder="0"/>
      <border outline="0">
        <left/>
        <right/>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rder>
    </ndxf>
  </rcc>
  <rfmt sheetId="27" sqref="G7" start="0" length="0">
    <dxf>
      <font>
        <sz val="11"/>
        <color rgb="FFFF0000"/>
        <name val="Arial Narrow"/>
        <scheme val="none"/>
      </font>
      <fill>
        <patternFill patternType="solid">
          <bgColor theme="0"/>
        </patternFill>
      </fill>
      <alignment vertical="center" readingOrder="0"/>
    </dxf>
  </rfmt>
  <rfmt sheetId="27" sqref="A8" start="0" length="0">
    <dxf>
      <font>
        <sz val="11"/>
        <color auto="1"/>
        <name val="Arial Narrow"/>
        <scheme val="none"/>
      </font>
      <fill>
        <patternFill patternType="solid">
          <bgColor theme="0"/>
        </patternFill>
      </fill>
      <alignment vertical="center" readingOrder="0"/>
      <border outline="0">
        <top style="thin">
          <color indexed="64"/>
        </top>
        <bottom style="thin">
          <color indexed="64"/>
        </bottom>
      </border>
    </dxf>
  </rfmt>
  <rfmt sheetId="27" sqref="B8" start="0" length="0">
    <dxf>
      <font>
        <sz val="11"/>
        <color auto="1"/>
        <name val="Arial Narrow"/>
        <scheme val="none"/>
      </font>
      <fill>
        <patternFill patternType="solid">
          <bgColor theme="0"/>
        </patternFill>
      </fill>
      <alignment horizontal="center" vertical="center" readingOrder="0"/>
      <border outline="0">
        <top style="thin">
          <color indexed="64"/>
        </top>
        <bottom style="thin">
          <color indexed="64"/>
        </bottom>
      </border>
    </dxf>
  </rfmt>
  <rfmt sheetId="27" sqref="C8" start="0" length="0">
    <dxf>
      <font>
        <sz val="11"/>
        <color auto="1"/>
        <name val="Arial Narrow"/>
        <scheme val="none"/>
      </font>
      <fill>
        <patternFill patternType="solid">
          <bgColor theme="0"/>
        </patternFill>
      </fill>
      <alignment horizontal="center" vertical="center" readingOrder="0"/>
    </dxf>
  </rfmt>
  <rfmt sheetId="27" sqref="D8" start="0" length="0">
    <dxf>
      <font>
        <sz val="11"/>
        <color auto="1"/>
        <name val="Arial Narrow"/>
        <scheme val="none"/>
      </font>
      <numFmt numFmtId="168" formatCode="#,##0.00&quot;р.&quot;"/>
      <fill>
        <patternFill patternType="solid">
          <bgColor rgb="FFFFFF99"/>
        </patternFill>
      </fill>
      <alignment horizontal="right" vertical="center" readingOrder="0"/>
      <border outline="0">
        <top style="thin">
          <color indexed="64"/>
        </top>
        <bottom style="thin">
          <color indexed="64"/>
        </bottom>
      </border>
    </dxf>
  </rfmt>
  <rfmt sheetId="27" sqref="E8" start="0" length="0">
    <dxf>
      <font>
        <sz val="11"/>
        <color auto="1"/>
        <name val="Arial Narrow"/>
        <scheme val="none"/>
      </font>
      <numFmt numFmtId="168" formatCode="#,##0.00&quot;р.&quot;"/>
      <fill>
        <patternFill patternType="solid">
          <bgColor theme="0"/>
        </patternFill>
      </fill>
      <alignment horizontal="right" vertical="center" readingOrder="0"/>
      <border outline="0">
        <top style="thin">
          <color indexed="64"/>
        </top>
        <bottom style="thin">
          <color indexed="64"/>
        </bottom>
      </border>
    </dxf>
  </rfmt>
  <rfmt sheetId="27" sqref="F8" start="0" length="0">
    <dxf>
      <font>
        <sz val="11"/>
        <color auto="1"/>
        <name val="Arial Narrow"/>
        <scheme val="none"/>
      </font>
      <numFmt numFmtId="168" formatCode="#,##0.00&quot;р.&quot;"/>
      <fill>
        <patternFill patternType="solid">
          <bgColor theme="0"/>
        </patternFill>
      </fill>
      <alignment horizontal="right" vertical="center" readingOrder="0"/>
      <border outline="0">
        <top style="thin">
          <color indexed="64"/>
        </top>
        <bottom style="thin">
          <color indexed="64"/>
        </bottom>
      </border>
    </dxf>
  </rfmt>
  <rfmt sheetId="27" sqref="G8" start="0" length="0">
    <dxf>
      <font>
        <sz val="11"/>
        <color rgb="FFFF0000"/>
        <name val="Arial Narrow"/>
        <scheme val="none"/>
      </font>
      <fill>
        <patternFill patternType="solid">
          <bgColor theme="0"/>
        </patternFill>
      </fill>
      <alignment vertical="center" readingOrder="0"/>
    </dxf>
  </rfmt>
  <rfmt sheetId="27" sqref="A9" start="0" length="0">
    <dxf>
      <font>
        <sz val="11"/>
        <color auto="1"/>
        <name val="Arial Narrow"/>
        <scheme val="none"/>
      </font>
      <fill>
        <patternFill patternType="solid">
          <bgColor theme="0"/>
        </patternFill>
      </fill>
      <alignment vertical="center" readingOrder="0"/>
    </dxf>
  </rfmt>
  <rfmt sheetId="27" sqref="B9" start="0" length="0">
    <dxf>
      <font>
        <sz val="11"/>
        <color auto="1"/>
        <name val="Arial Narrow"/>
        <scheme val="none"/>
      </font>
      <fill>
        <patternFill patternType="solid">
          <bgColor theme="0"/>
        </patternFill>
      </fill>
      <alignment horizontal="center" vertical="center" readingOrder="0"/>
    </dxf>
  </rfmt>
  <rfmt sheetId="27" sqref="C9" start="0" length="0">
    <dxf>
      <font>
        <sz val="11"/>
        <color auto="1"/>
        <name val="Arial Narrow"/>
        <scheme val="none"/>
      </font>
      <fill>
        <patternFill patternType="solid">
          <bgColor theme="0"/>
        </patternFill>
      </fill>
      <alignment horizontal="center" vertical="center" readingOrder="0"/>
    </dxf>
  </rfmt>
  <rfmt sheetId="27" sqref="D9" start="0" length="0">
    <dxf>
      <font>
        <sz val="11"/>
        <color auto="1"/>
        <name val="Arial Narrow"/>
        <scheme val="none"/>
      </font>
      <numFmt numFmtId="168" formatCode="#,##0.00&quot;р.&quot;"/>
      <fill>
        <patternFill patternType="solid">
          <bgColor rgb="FFFFFF99"/>
        </patternFill>
      </fill>
      <alignment horizontal="right" vertical="center" readingOrder="0"/>
    </dxf>
  </rfmt>
  <rfmt sheetId="27" sqref="E9" start="0" length="0">
    <dxf>
      <font>
        <sz val="11"/>
        <color auto="1"/>
        <name val="Arial Narrow"/>
        <scheme val="none"/>
      </font>
      <numFmt numFmtId="168" formatCode="#,##0.00&quot;р.&quot;"/>
      <fill>
        <patternFill patternType="solid">
          <bgColor theme="0"/>
        </patternFill>
      </fill>
      <alignment horizontal="right" vertical="center" readingOrder="0"/>
    </dxf>
  </rfmt>
  <rfmt sheetId="27" sqref="F9" start="0" length="0">
    <dxf>
      <font>
        <sz val="11"/>
        <color auto="1"/>
        <name val="Arial Narrow"/>
        <scheme val="none"/>
      </font>
      <numFmt numFmtId="168" formatCode="#,##0.00&quot;р.&quot;"/>
      <fill>
        <patternFill patternType="solid">
          <bgColor theme="0"/>
        </patternFill>
      </fill>
      <alignment horizontal="right" vertical="center" readingOrder="0"/>
    </dxf>
  </rfmt>
  <rfmt sheetId="27" sqref="G9" start="0" length="0">
    <dxf>
      <font>
        <sz val="11"/>
        <color rgb="FFFF0000"/>
        <name val="Arial Narrow"/>
        <scheme val="none"/>
      </font>
      <fill>
        <patternFill patternType="solid">
          <bgColor theme="0"/>
        </patternFill>
      </fill>
      <alignment vertical="center" readingOrder="0"/>
    </dxf>
  </rfmt>
  <rcc rId="7728" sId="27" odxf="1" dxf="1">
    <nc r="A10" t="inlineStr">
      <is>
        <t>Точечный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729" sId="27" odxf="1" dxf="1">
    <nc r="B10"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7" sqref="C10" start="0" length="0">
    <dxf>
      <font>
        <b/>
        <sz val="11"/>
        <color auto="1"/>
        <name val="Arial Narrow"/>
        <scheme val="none"/>
      </font>
      <numFmt numFmtId="2" formatCode="0.00"/>
      <fill>
        <patternFill patternType="solid">
          <bgColor theme="0"/>
        </patternFill>
      </fill>
      <alignment horizontal="center" vertical="center" readingOrder="0"/>
    </dxf>
  </rfmt>
  <rfmt sheetId="27" sqref="D10"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7" sqref="E10" start="0" length="0">
    <dxf>
      <fill>
        <patternFill patternType="solid">
          <bgColor rgb="FFFFFF00"/>
        </patternFill>
      </fill>
      <alignment vertical="center" wrapText="1" readingOrder="0"/>
      <border outline="0">
        <top style="thin">
          <color indexed="64"/>
        </top>
        <bottom style="double">
          <color indexed="64"/>
        </bottom>
      </border>
    </dxf>
  </rfmt>
  <rfmt sheetId="27" sqref="F10"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7" sqref="G10" start="0" length="0">
    <dxf>
      <font>
        <b/>
        <sz val="11"/>
        <color theme="1"/>
        <name val="Arial Narrow"/>
        <scheme val="none"/>
      </font>
      <fill>
        <patternFill patternType="solid">
          <bgColor theme="0"/>
        </patternFill>
      </fill>
      <alignment vertical="center" readingOrder="0"/>
    </dxf>
  </rfmt>
  <rcc rId="7730" sId="27" odxf="1" dxf="1">
    <nc r="A11" t="inlineStr">
      <is>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NEXT</t>
        </r>
        <r>
          <rPr>
            <sz val="11"/>
            <rFont val="Arial Narrow"/>
            <family val="2"/>
            <charset val="204"/>
          </rPr>
          <t>, все цвета</t>
        </r>
      </is>
    </nc>
    <odxf>
      <font>
        <sz val="11"/>
        <color theme="1"/>
        <name val="Calibri"/>
        <scheme val="minor"/>
      </font>
      <fill>
        <patternFill patternType="none">
          <bgColor indexed="65"/>
        </patternFill>
      </fill>
      <alignment vertical="bottom" readingOrder="0"/>
      <border outline="0">
        <left/>
        <right/>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bottom style="thin">
          <color indexed="64"/>
        </bottom>
      </border>
    </ndxf>
  </rcc>
  <rcc rId="7731" sId="27" odxf="1" dxf="1">
    <nc r="B11">
      <v>9</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27" sqref="C11" start="0" length="0">
    <dxf>
      <font>
        <sz val="11"/>
        <color auto="1"/>
        <name val="Arial Narrow"/>
        <scheme val="none"/>
      </font>
      <fill>
        <patternFill patternType="solid">
          <bgColor theme="0"/>
        </patternFill>
      </fill>
      <alignment horizontal="center" vertical="center" readingOrder="0"/>
    </dxf>
  </rfmt>
  <rcc rId="7732" sId="27" odxf="1" dxf="1" numFmtId="4">
    <nc r="D11">
      <v>1184.45</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top style="thin">
          <color indexed="64"/>
        </top>
        <bottom style="thin">
          <color indexed="64"/>
        </bottom>
      </border>
    </ndxf>
  </rcc>
  <rcc rId="7733" sId="27" odxf="1" dxf="1" numFmtId="4">
    <nc r="E11">
      <v>1342.38</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734" sId="27" odxf="1" dxf="1" numFmtId="4">
    <nc r="F11">
      <v>1579.27</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fmt sheetId="27" sqref="G11" start="0" length="0">
    <dxf>
      <font>
        <sz val="11"/>
        <color rgb="FFFF0000"/>
        <name val="Arial Narrow"/>
        <scheme val="none"/>
      </font>
      <fill>
        <patternFill patternType="solid">
          <bgColor theme="0"/>
        </patternFill>
      </fill>
      <alignment vertical="center" readingOrder="0"/>
    </dxf>
  </rfmt>
  <rcc rId="7735" sId="27" odxf="1" dxf="1">
    <nc r="A12" t="inlineStr">
      <is>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ROOT</t>
        </r>
        <r>
          <rPr>
            <sz val="11"/>
            <rFont val="Arial Narrow"/>
            <family val="2"/>
            <charset val="204"/>
          </rPr>
          <t>, все цвета</t>
        </r>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7736" sId="27" odxf="1" dxf="1">
    <nc r="B12">
      <v>9</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27" sqref="C12" start="0" length="0">
    <dxf>
      <font>
        <sz val="11"/>
        <color auto="1"/>
        <name val="Arial Narrow"/>
        <scheme val="none"/>
      </font>
      <fill>
        <patternFill patternType="solid">
          <bgColor theme="0"/>
        </patternFill>
      </fill>
      <alignment horizontal="center" vertical="center" readingOrder="0"/>
    </dxf>
  </rfmt>
  <rcc rId="7737" sId="27" odxf="1" dxf="1" numFmtId="4">
    <nc r="D12">
      <v>776.02</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top style="thin">
          <color indexed="64"/>
        </top>
        <bottom style="thin">
          <color indexed="64"/>
        </bottom>
      </border>
    </ndxf>
  </rcc>
  <rcc rId="7738" sId="27" odxf="1" dxf="1" numFmtId="4">
    <nc r="E12">
      <v>879.49</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739" sId="27" odxf="1" dxf="1" numFmtId="4">
    <nc r="F12">
      <v>1034.69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7" sqref="G12" start="0" length="0">
    <dxf>
      <font>
        <sz val="11"/>
        <color rgb="FFFF0000"/>
        <name val="Arial Narrow"/>
        <scheme val="none"/>
      </font>
      <fill>
        <patternFill patternType="solid">
          <bgColor theme="0"/>
        </patternFill>
      </fill>
      <alignment vertical="center" readingOrder="0"/>
    </dxf>
  </rfmt>
  <rcc rId="7740" sId="27" odxf="1" dxf="1">
    <nc r="A13" t="inlineStr">
      <is>
        <t>Прайс-лист для Воронежской, Белгородской, Курской, Липецкой, Тамбовской, Орловской обасти !!!!!!!!</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00"/>
        </patternFill>
      </fill>
      <alignment horizontal="left" vertical="center" readingOrder="0"/>
      <border outline="0">
        <left style="medium">
          <color indexed="64"/>
        </left>
        <right style="medium">
          <color indexed="64"/>
        </right>
        <top style="medium">
          <color indexed="64"/>
        </top>
        <bottom style="medium">
          <color indexed="64"/>
        </bottom>
      </border>
    </ndxf>
  </rcc>
  <rfmt sheetId="27" sqref="B13" start="0" length="0">
    <dxf>
      <font>
        <sz val="11"/>
        <color auto="1"/>
        <name val="Arial Narrow"/>
        <scheme val="none"/>
      </font>
      <fill>
        <patternFill patternType="solid">
          <bgColor rgb="FFFFFF00"/>
        </patternFill>
      </fill>
      <alignment vertical="center" readingOrder="0"/>
    </dxf>
  </rfmt>
  <rfmt sheetId="27" sqref="C13" start="0" length="0">
    <dxf>
      <font>
        <sz val="11"/>
        <color auto="1"/>
        <name val="Arial Narrow"/>
        <scheme val="none"/>
      </font>
      <fill>
        <patternFill patternType="solid">
          <bgColor rgb="FFFFFF00"/>
        </patternFill>
      </fill>
      <alignment vertical="center" readingOrder="0"/>
    </dxf>
  </rfmt>
  <rfmt sheetId="27" sqref="D13" start="0" length="0">
    <dxf>
      <font>
        <sz val="11"/>
        <color auto="1"/>
        <name val="Arial Narrow"/>
        <scheme val="none"/>
      </font>
      <numFmt numFmtId="13" formatCode="0%"/>
      <fill>
        <patternFill patternType="solid">
          <bgColor theme="0"/>
        </patternFill>
      </fill>
      <alignment vertical="center" readingOrder="0"/>
    </dxf>
  </rfmt>
  <rcc rId="7741" sId="27" odxf="1" dxf="1">
    <nc r="E13"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0"/>
        <color auto="1"/>
        <name val="Arial Narrow"/>
        <scheme val="none"/>
      </font>
      <fill>
        <patternFill patternType="solid">
          <bgColor rgb="FFFFFF00"/>
        </patternFill>
      </fill>
      <alignment horizontal="left" vertical="center" wrapText="1" readingOrder="0"/>
      <border outline="0">
        <top style="thin">
          <color indexed="64"/>
        </top>
      </border>
    </ndxf>
  </rcc>
  <rfmt sheetId="27" sqref="F13" start="0" length="0">
    <dxf>
      <font>
        <sz val="10"/>
        <color theme="1"/>
        <name val="Calibri"/>
        <scheme val="minor"/>
      </font>
      <fill>
        <patternFill patternType="solid">
          <bgColor rgb="FFFFFF00"/>
        </patternFill>
      </fill>
      <alignment vertical="center" wrapText="1" readingOrder="0"/>
      <border outline="0">
        <top style="thin">
          <color indexed="64"/>
        </top>
      </border>
    </dxf>
  </rfmt>
  <rfmt sheetId="27" sqref="G13" start="0" length="0">
    <dxf>
      <font>
        <sz val="10"/>
        <color theme="1"/>
        <name val="Calibri"/>
        <scheme val="minor"/>
      </font>
      <fill>
        <patternFill patternType="solid">
          <bgColor rgb="FFFFFF00"/>
        </patternFill>
      </fill>
      <alignment vertical="center" wrapText="1" readingOrder="0"/>
      <border outline="0">
        <top style="thin">
          <color indexed="64"/>
        </top>
      </border>
    </dxf>
  </rfmt>
  <rfmt sheetId="27" sqref="A14" start="0" length="0">
    <dxf>
      <font>
        <b/>
        <sz val="11"/>
        <color auto="1"/>
        <name val="Arial Narrow"/>
        <scheme val="none"/>
      </font>
      <fill>
        <patternFill patternType="solid">
          <bgColor theme="0"/>
        </patternFill>
      </fill>
      <alignment vertical="center" readingOrder="0"/>
    </dxf>
  </rfmt>
  <rfmt sheetId="27" sqref="B14" start="0" length="0">
    <dxf>
      <font>
        <sz val="11"/>
        <color auto="1"/>
        <name val="Arial Narrow"/>
        <scheme val="none"/>
      </font>
      <fill>
        <patternFill patternType="solid">
          <bgColor theme="0"/>
        </patternFill>
      </fill>
      <alignment horizontal="center" vertical="center" readingOrder="0"/>
    </dxf>
  </rfmt>
  <rfmt sheetId="27" sqref="C14" start="0" length="0">
    <dxf>
      <font>
        <sz val="11"/>
        <color auto="1"/>
        <name val="Arial Narrow"/>
        <scheme val="none"/>
      </font>
      <fill>
        <patternFill patternType="solid">
          <bgColor theme="0"/>
        </patternFill>
      </fill>
      <alignment horizontal="center" vertical="center" readingOrder="0"/>
    </dxf>
  </rfmt>
  <rfmt sheetId="27" sqref="D14" start="0" length="0">
    <dxf>
      <font>
        <sz val="11"/>
        <color auto="1"/>
        <name val="Arial Narrow"/>
        <scheme val="none"/>
      </font>
      <numFmt numFmtId="168" formatCode="#,##0.00&quot;р.&quot;"/>
      <fill>
        <patternFill patternType="solid">
          <bgColor theme="0"/>
        </patternFill>
      </fill>
      <alignment horizontal="right" vertical="center" readingOrder="0"/>
    </dxf>
  </rfmt>
  <rfmt sheetId="27" sqref="E14" start="0" length="0">
    <dxf>
      <font>
        <sz val="10"/>
        <color theme="1"/>
        <name val="Calibri"/>
        <scheme val="minor"/>
      </font>
      <alignment vertical="center" wrapText="1" readingOrder="0"/>
    </dxf>
  </rfmt>
  <rfmt sheetId="27" sqref="F14" start="0" length="0">
    <dxf>
      <font>
        <sz val="10"/>
        <color theme="1"/>
        <name val="Calibri"/>
        <scheme val="minor"/>
      </font>
      <alignment vertical="center" wrapText="1" readingOrder="0"/>
    </dxf>
  </rfmt>
  <rfmt sheetId="27" sqref="G14" start="0" length="0">
    <dxf>
      <font>
        <sz val="10"/>
        <color theme="1"/>
        <name val="Calibri"/>
        <scheme val="minor"/>
      </font>
      <alignment vertical="center" wrapText="1" readingOrder="0"/>
    </dxf>
  </rfmt>
  <rcc rId="7742" sId="27" xfDxf="1" dxf="1">
    <nc r="A2" t="inlineStr">
      <is>
        <t>ООО "ЦЕНТР-ТИМ"   Платонов Иван 89536104242  centrtim57@mail.ru  28/03/19</t>
      </is>
    </nc>
  </rcc>
  <rfmt sheetId="27" sqref="A2" start="0" length="2147483647">
    <dxf>
      <font>
        <sz val="16"/>
      </font>
    </dxf>
  </rfmt>
  <rrc rId="7743" sId="27" ref="A1:XFD1" action="deleteRow">
    <rfmt sheetId="27" xfDxf="1" sqref="A1:XFD1" start="0" length="0"/>
  </rrc>
  <rfmt sheetId="27" sqref="A1:F1">
    <dxf>
      <fill>
        <patternFill patternType="solid">
          <bgColor rgb="FF00B0F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1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snm rId="9678" sheetId="28" oldName="[ПРАЙС ЦЕНТР-ТИМ 2019 обновленный.xlsx]Сайдинг и Доборка ДЕКЕ" newName="[ПРАЙС ЦЕНТР-ТИМ 2019 обновленный.xlsx]Сайдинг, Софиты, Доборка"/>
</revisions>
</file>

<file path=xl/revisions/revisionLog11221.xml><?xml version="1.0" encoding="utf-8"?>
<revisions xmlns="http://schemas.openxmlformats.org/spreadsheetml/2006/main" xmlns:r="http://schemas.openxmlformats.org/officeDocument/2006/relationships">
  <rdn rId="0" localSheetId="1" customView="1" name="Z_900EF7B2_0D63_4DE2_9CFC_2D2B3788802C_.wvu.PrintArea" hidden="1" oldHidden="1">
    <formula>'ЦЕНТР-ТИМ'!$A$1:$Q$208</formula>
  </rdn>
  <rdn rId="0" localSheetId="2" customView="1" name="Z_900EF7B2_0D63_4DE2_9CFC_2D2B3788802C_.wvu.PrintArea" hidden="1" oldHidden="1">
    <formula>HotRock!$A$1:$P$31</formula>
  </rdn>
  <rdn rId="0" localSheetId="2" customView="1" name="Z_900EF7B2_0D63_4DE2_9CFC_2D2B3788802C_.wvu.Cols" hidden="1" oldHidden="1">
    <formula>HotRock!$L:$P</formula>
  </rdn>
  <rdn rId="0" localSheetId="3" customView="1" name="Z_900EF7B2_0D63_4DE2_9CFC_2D2B3788802C_.wvu.PrintArea" hidden="1" oldHidden="1">
    <formula>ISOROC!$A$1:$T$14</formula>
  </rdn>
  <rdn rId="0" localSheetId="3" customView="1" name="Z_900EF7B2_0D63_4DE2_9CFC_2D2B3788802C_.wvu.Cols" hidden="1" oldHidden="1">
    <formula>ISOROC!$M:$T</formula>
  </rdn>
  <rdn rId="0" localSheetId="4" customView="1" name="Z_900EF7B2_0D63_4DE2_9CFC_2D2B3788802C_.wvu.PrintArea" hidden="1" oldHidden="1">
    <formula>IZOVOL!$A$1:$L$20</formula>
  </rdn>
  <rdn rId="0" localSheetId="4" customView="1" name="Z_900EF7B2_0D63_4DE2_9CFC_2D2B3788802C_.wvu.Cols" hidden="1" oldHidden="1">
    <formula>IZOVOL!$H:$J</formula>
  </rdn>
  <rdn rId="0" localSheetId="5" customView="1" name="Z_900EF7B2_0D63_4DE2_9CFC_2D2B3788802C_.wvu.PrintArea" hidden="1" oldHidden="1">
    <formula>ROCKWOOL!$A$1:$H$36</formula>
  </rdn>
  <rdn rId="0" localSheetId="5" customView="1" name="Z_900EF7B2_0D63_4DE2_9CFC_2D2B3788802C_.wvu.Cols" hidden="1" oldHidden="1">
    <formula>ROCKWOOL!$G:$G</formula>
  </rdn>
  <rdn rId="0" localSheetId="6" customView="1" name="Z_900EF7B2_0D63_4DE2_9CFC_2D2B3788802C_.wvu.PrintArea" hidden="1" oldHidden="1">
    <formula>техноНИКОЛЬ!$A$1:$L$20</formula>
  </rdn>
  <rdn rId="0" localSheetId="6" customView="1" name="Z_900EF7B2_0D63_4DE2_9CFC_2D2B3788802C_.wvu.Cols" hidden="1" oldHidden="1">
    <formula>техноНИКОЛЬ!$H:$L</formula>
  </rdn>
  <rdn rId="0" localSheetId="21" customView="1" name="Z_900EF7B2_0D63_4DE2_9CFC_2D2B3788802C_.wvu.Cols" hidden="1" oldHidden="1">
    <formula>'Differo МИНПЛИТА'!$J:$K</formula>
  </rdn>
  <rdn rId="0" localSheetId="7" customView="1" name="Z_900EF7B2_0D63_4DE2_9CFC_2D2B3788802C_.wvu.PrintArea" hidden="1" oldHidden="1">
    <formula>'профили ГКЛ'!$A$1:$N$39</formula>
  </rdn>
  <rdn rId="0" localSheetId="7" customView="1" name="Z_900EF7B2_0D63_4DE2_9CFC_2D2B3788802C_.wvu.Cols" hidden="1" oldHidden="1">
    <formula>'профили ГКЛ'!$O:$S</formula>
  </rdn>
  <rdn rId="0" localSheetId="8" customView="1" name="Z_900EF7B2_0D63_4DE2_9CFC_2D2B3788802C_.wvu.PrintArea" hidden="1" oldHidden="1">
    <formula>'профили НВФ'!$A$1:$K$66</formula>
  </rdn>
  <rdn rId="0" localSheetId="8" customView="1" name="Z_900EF7B2_0D63_4DE2_9CFC_2D2B3788802C_.wvu.Cols" hidden="1" oldHidden="1">
    <formula>'профили НВФ'!$I:$K</formula>
  </rdn>
  <rdn rId="0" localSheetId="9" customView="1" name="Z_900EF7B2_0D63_4DE2_9CFC_2D2B3788802C_.wvu.Cols" hidden="1" oldHidden="1">
    <formula>'ИЗМ''ИЗО''ИЗТ'!$D:$D</formula>
  </rdn>
  <rdn rId="0" localSheetId="10" customView="1" name="Z_900EF7B2_0D63_4DE2_9CFC_2D2B3788802C_.wvu.PrintArea" hidden="1" oldHidden="1">
    <formula>'плёнки''всп.п-эн'!$A$1:$L$78</formula>
  </rdn>
  <rdn rId="0" localSheetId="10" customView="1" name="Z_900EF7B2_0D63_4DE2_9CFC_2D2B3788802C_.wvu.Rows" hidden="1" oldHidden="1">
    <formula>'плёнки''всп.п-эн'!$17:$24</formula>
  </rdn>
  <rdn rId="0" localSheetId="10" customView="1" name="Z_900EF7B2_0D63_4DE2_9CFC_2D2B3788802C_.wvu.Cols" hidden="1" oldHidden="1">
    <formula>'плёнки''всп.п-эн'!$I:$K</formula>
  </rdn>
  <rdn rId="0" localSheetId="11" customView="1" name="Z_900EF7B2_0D63_4DE2_9CFC_2D2B3788802C_.wvu.PrintArea" hidden="1" oldHidden="1">
    <formula>'ГКЛ''OSB''МДВП'!$A$1:$I$29</formula>
  </rdn>
  <rdn rId="0" localSheetId="11" customView="1" name="Z_900EF7B2_0D63_4DE2_9CFC_2D2B3788802C_.wvu.Cols" hidden="1" oldHidden="1">
    <formula>'ГКЛ''OSB''МДВП'!$G:$H</formula>
  </rdn>
  <rdn rId="0" localSheetId="12" customView="1" name="Z_900EF7B2_0D63_4DE2_9CFC_2D2B3788802C_.wvu.PrintArea" hidden="1" oldHidden="1">
    <formula>рубероид!$A$1:$M$52</formula>
  </rdn>
  <rdn rId="0" localSheetId="12" customView="1" name="Z_900EF7B2_0D63_4DE2_9CFC_2D2B3788802C_.wvu.Cols" hidden="1" oldHidden="1">
    <formula>рубероид!$J:$M</formula>
  </rdn>
  <rdn rId="0" localSheetId="13" customView="1" name="Z_900EF7B2_0D63_4DE2_9CFC_2D2B3788802C_.wvu.PrintArea" hidden="1" oldHidden="1">
    <formula>'ПСБ''XPS'!$A$1:$R$21</formula>
  </rdn>
  <rdn rId="0" localSheetId="13" customView="1" name="Z_900EF7B2_0D63_4DE2_9CFC_2D2B3788802C_.wvu.Rows" hidden="1" oldHidden="1">
    <formula>'ПСБ''XPS'!$1:$1</formula>
  </rdn>
  <rdn rId="0" localSheetId="13" customView="1" name="Z_900EF7B2_0D63_4DE2_9CFC_2D2B3788802C_.wvu.Cols" hidden="1" oldHidden="1">
    <formula>'ПСБ''XPS'!$L:$Q</formula>
  </rdn>
  <rdn rId="0" localSheetId="14" customView="1" name="Z_900EF7B2_0D63_4DE2_9CFC_2D2B3788802C_.wvu.PrintArea" hidden="1" oldHidden="1">
    <formula>'смеси''грунтовки'!$A$1:$P$160</formula>
  </rdn>
  <rdn rId="0" localSheetId="14" customView="1" name="Z_900EF7B2_0D63_4DE2_9CFC_2D2B3788802C_.wvu.Cols" hidden="1" oldHidden="1">
    <formula>'смеси''грунтовки'!$F:$P</formula>
  </rdn>
  <rdn rId="0" localSheetId="15" customView="1" name="Z_900EF7B2_0D63_4DE2_9CFC_2D2B3788802C_.wvu.PrintArea" hidden="1" oldHidden="1">
    <formula>docke!$A$1:$M$37</formula>
  </rdn>
  <rdn rId="0" localSheetId="15" customView="1" name="Z_900EF7B2_0D63_4DE2_9CFC_2D2B3788802C_.wvu.Cols" hidden="1" oldHidden="1">
    <formula>docke!$I:$M</formula>
  </rdn>
  <rdn rId="0" localSheetId="16" customView="1" name="Z_900EF7B2_0D63_4DE2_9CFC_2D2B3788802C_.wvu.Cols" hidden="1" oldHidden="1">
    <formula>'мастики''битумы'!$H:$I</formula>
  </rdn>
  <rdn rId="0" localSheetId="17" customView="1" name="Z_900EF7B2_0D63_4DE2_9CFC_2D2B3788802C_.wvu.Cols" hidden="1" oldHidden="1">
    <formula>'Техно Николь Рулонка,ПРАЙМЕР, '!$E:$E</formula>
  </rdn>
  <rdn rId="0" localSheetId="19" customView="1" name="Z_900EF7B2_0D63_4DE2_9CFC_2D2B3788802C_.wvu.Cols" hidden="1" oldHidden="1">
    <formula>'КНАУФ ГКЛ, профиля ,смеси'!$C:$C</formula>
  </rdn>
  <rdn rId="0" localSheetId="22" customView="1" name="Z_900EF7B2_0D63_4DE2_9CFC_2D2B3788802C_.wvu.Cols" hidden="1" oldHidden="1">
    <formula>'OSB,ФАНЕРА,ПОЛИКАРБОНАТ'!$C:$C</formula>
  </rdn>
  <rdn rId="0" localSheetId="23" customView="1" name="Z_900EF7B2_0D63_4DE2_9CFC_2D2B3788802C_.wvu.Cols" hidden="1" oldHidden="1">
    <formula>PAROC!$C:$C</formula>
  </rdn>
  <rcv guid="{900EF7B2-0D63-4DE2-9CFC-2D2B3788802C}" action="add"/>
  <rsnm rId="9641" sheetId="32" oldName="[ПРАЙС ЦЕНТР-ТИМ 2019 обновленный.xlsx]МЕТАЛЛ-ГАРАНТ (Металл г.Липецк)" newName="[ПРАЙС ЦЕНТР-ТИМ 2019 обновленный.xlsx]МЕТАЛЛ"/>
</revisions>
</file>

<file path=xl/revisions/revisionLog112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3.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31.xml><?xml version="1.0" encoding="utf-8"?>
<revisions xmlns="http://schemas.openxmlformats.org/spreadsheetml/2006/main" xmlns:r="http://schemas.openxmlformats.org/officeDocument/2006/relationships">
  <rcv guid="{900EF7B2-0D63-4DE2-9CFC-2D2B3788802C}" action="delete"/>
  <rdn rId="0" localSheetId="1" customView="1" name="Z_900EF7B2_0D63_4DE2_9CFC_2D2B3788802C_.wvu.PrintArea" hidden="1" oldHidden="1">
    <formula>'ЦЕНТР-ТИМ'!$A$1:$Q$208</formula>
    <oldFormula>'ЦЕНТР-ТИМ'!$A$1:$Q$208</oldFormula>
  </rdn>
  <rdn rId="0" localSheetId="2" customView="1" name="Z_900EF7B2_0D63_4DE2_9CFC_2D2B3788802C_.wvu.PrintArea" hidden="1" oldHidden="1">
    <formula>HotRock!$A$1:$P$31</formula>
    <oldFormula>HotRock!$A$1:$P$31</oldFormula>
  </rdn>
  <rdn rId="0" localSheetId="2" customView="1" name="Z_900EF7B2_0D63_4DE2_9CFC_2D2B3788802C_.wvu.Cols" hidden="1" oldHidden="1">
    <formula>HotRock!$L:$P</formula>
    <oldFormula>HotRock!$L:$P</oldFormula>
  </rdn>
  <rdn rId="0" localSheetId="3" customView="1" name="Z_900EF7B2_0D63_4DE2_9CFC_2D2B3788802C_.wvu.PrintArea" hidden="1" oldHidden="1">
    <formula>ISOROC!$A$1:$T$14</formula>
    <oldFormula>ISOROC!$A$1:$T$14</oldFormula>
  </rdn>
  <rdn rId="0" localSheetId="3" customView="1" name="Z_900EF7B2_0D63_4DE2_9CFC_2D2B3788802C_.wvu.Cols" hidden="1" oldHidden="1">
    <formula>ISOROC!$M:$T</formula>
    <oldFormula>ISOROC!$M:$T</oldFormula>
  </rdn>
  <rdn rId="0" localSheetId="4" customView="1" name="Z_900EF7B2_0D63_4DE2_9CFC_2D2B3788802C_.wvu.PrintArea" hidden="1" oldHidden="1">
    <formula>IZOVOL!$A$1:$L$20</formula>
    <oldFormula>IZOVOL!$A$1:$L$20</oldFormula>
  </rdn>
  <rdn rId="0" localSheetId="4" customView="1" name="Z_900EF7B2_0D63_4DE2_9CFC_2D2B3788802C_.wvu.Cols" hidden="1" oldHidden="1">
    <formula>IZOVOL!$H:$J</formula>
    <oldFormula>IZOVOL!$H:$J</oldFormula>
  </rdn>
  <rdn rId="0" localSheetId="5" customView="1" name="Z_900EF7B2_0D63_4DE2_9CFC_2D2B3788802C_.wvu.PrintArea" hidden="1" oldHidden="1">
    <formula>ROCKWOOL!$A$1:$H$36</formula>
    <oldFormula>ROCKWOOL!$A$1:$H$36</oldFormula>
  </rdn>
  <rdn rId="0" localSheetId="5" customView="1" name="Z_900EF7B2_0D63_4DE2_9CFC_2D2B3788802C_.wvu.Cols" hidden="1" oldHidden="1">
    <formula>ROCKWOOL!$G:$G</formula>
    <oldFormula>ROCKWOOL!$G:$G</oldFormula>
  </rdn>
  <rdn rId="0" localSheetId="6" customView="1" name="Z_900EF7B2_0D63_4DE2_9CFC_2D2B3788802C_.wvu.PrintArea" hidden="1" oldHidden="1">
    <formula>техноНИКОЛЬ!$A$1:$L$20</formula>
    <oldFormula>техноНИКОЛЬ!$A$1:$L$20</oldFormula>
  </rdn>
  <rdn rId="0" localSheetId="6" customView="1" name="Z_900EF7B2_0D63_4DE2_9CFC_2D2B3788802C_.wvu.Cols" hidden="1" oldHidden="1">
    <formula>техноНИКОЛЬ!$H:$L</formula>
    <oldFormula>техноНИКОЛЬ!$H:$L</oldFormula>
  </rdn>
  <rdn rId="0" localSheetId="21" customView="1" name="Z_900EF7B2_0D63_4DE2_9CFC_2D2B3788802C_.wvu.Cols" hidden="1" oldHidden="1">
    <formula>'Differo МИНПЛИТА'!$I:$J</formula>
    <oldFormula>'Differo МИНПЛИТА'!$I:$J</oldFormula>
  </rdn>
  <rdn rId="0" localSheetId="23" customView="1" name="Z_900EF7B2_0D63_4DE2_9CFC_2D2B3788802C_.wvu.Cols" hidden="1" oldHidden="1">
    <formula>PAROC!$C:$C</formula>
    <oldFormula>PAROC!$C:$C</oldFormula>
  </rdn>
  <rdn rId="0" localSheetId="11" customView="1" name="Z_900EF7B2_0D63_4DE2_9CFC_2D2B3788802C_.wvu.PrintArea" hidden="1" oldHidden="1">
    <formula>'ГКЛ''OSB''МДВП'!$A$1:$I$29</formula>
    <oldFormula>'ГКЛ''OSB''МДВП'!$A$1:$I$29</oldFormula>
  </rdn>
  <rdn rId="0" localSheetId="11" customView="1" name="Z_900EF7B2_0D63_4DE2_9CFC_2D2B3788802C_.wvu.Cols" hidden="1" oldHidden="1">
    <formula>'ГКЛ''OSB''МДВП'!$G:$H</formula>
    <oldFormula>'ГКЛ''OSB''МДВП'!$G:$H</oldFormula>
  </rdn>
  <rdn rId="0" localSheetId="7" customView="1" name="Z_900EF7B2_0D63_4DE2_9CFC_2D2B3788802C_.wvu.PrintArea" hidden="1" oldHidden="1">
    <formula>'профили ГКЛ'!$A$1:$N$39</formula>
    <oldFormula>'профили ГКЛ'!$A$1:$N$39</oldFormula>
  </rdn>
  <rdn rId="0" localSheetId="7" customView="1" name="Z_900EF7B2_0D63_4DE2_9CFC_2D2B3788802C_.wvu.Cols" hidden="1" oldHidden="1">
    <formula>'профили ГКЛ'!$O:$S</formula>
    <oldFormula>'профили ГКЛ'!$O:$S</oldFormula>
  </rdn>
  <rdn rId="0" localSheetId="8" customView="1" name="Z_900EF7B2_0D63_4DE2_9CFC_2D2B3788802C_.wvu.PrintArea" hidden="1" oldHidden="1">
    <formula>'профили НВФ'!$A$1:$K$66</formula>
    <oldFormula>'профили НВФ'!$A$1:$K$66</oldFormula>
  </rdn>
  <rdn rId="0" localSheetId="8" customView="1" name="Z_900EF7B2_0D63_4DE2_9CFC_2D2B3788802C_.wvu.Cols" hidden="1" oldHidden="1">
    <formula>'профили НВФ'!$I:$K</formula>
    <oldFormula>'профили НВФ'!$I:$K</oldFormula>
  </rdn>
  <rdn rId="0" localSheetId="9" customView="1" name="Z_900EF7B2_0D63_4DE2_9CFC_2D2B3788802C_.wvu.Cols" hidden="1" oldHidden="1">
    <formula>'ИЗМ''ИЗО''ИЗТ'!$D:$D</formula>
    <oldFormula>'ИЗМ''ИЗО''ИЗТ'!$D:$D</oldFormula>
  </rdn>
  <rdn rId="0" localSheetId="10" customView="1" name="Z_900EF7B2_0D63_4DE2_9CFC_2D2B3788802C_.wvu.PrintArea" hidden="1" oldHidden="1">
    <formula>'плёнки''всп.п-эн'!$A$1:$L$78</formula>
    <oldFormula>'плёнки''всп.п-эн'!$A$1:$L$78</oldFormula>
  </rdn>
  <rdn rId="0" localSheetId="10" customView="1" name="Z_900EF7B2_0D63_4DE2_9CFC_2D2B3788802C_.wvu.Rows" hidden="1" oldHidden="1">
    <formula>'плёнки''всп.п-эн'!$17:$24</formula>
    <oldFormula>'плёнки''всп.п-эн'!$17:$24</oldFormula>
  </rdn>
  <rdn rId="0" localSheetId="10" customView="1" name="Z_900EF7B2_0D63_4DE2_9CFC_2D2B3788802C_.wvu.Cols" hidden="1" oldHidden="1">
    <formula>'плёнки''всп.п-эн'!$I:$K</formula>
    <oldFormula>'плёнки''всп.п-эн'!$I:$K</oldFormula>
  </rdn>
  <rdn rId="0" localSheetId="12" customView="1" name="Z_900EF7B2_0D63_4DE2_9CFC_2D2B3788802C_.wvu.PrintArea" hidden="1" oldHidden="1">
    <formula>рубероид!$A$1:$M$52</formula>
    <oldFormula>рубероид!$A$1:$M$52</oldFormula>
  </rdn>
  <rdn rId="0" localSheetId="12" customView="1" name="Z_900EF7B2_0D63_4DE2_9CFC_2D2B3788802C_.wvu.Cols" hidden="1" oldHidden="1">
    <formula>рубероид!$J:$M</formula>
    <oldFormula>рубероид!$J:$M</oldFormula>
  </rdn>
  <rdn rId="0" localSheetId="13" customView="1" name="Z_900EF7B2_0D63_4DE2_9CFC_2D2B3788802C_.wvu.PrintArea" hidden="1" oldHidden="1">
    <formula>'ПСБ''XPS'!$A$1:$R$21</formula>
    <oldFormula>'ПСБ''XPS'!$A$1:$R$21</oldFormula>
  </rdn>
  <rdn rId="0" localSheetId="13" customView="1" name="Z_900EF7B2_0D63_4DE2_9CFC_2D2B3788802C_.wvu.Rows" hidden="1" oldHidden="1">
    <formula>'ПСБ''XPS'!$1:$1</formula>
    <oldFormula>'ПСБ''XPS'!$1:$1</oldFormula>
  </rdn>
  <rdn rId="0" localSheetId="13" customView="1" name="Z_900EF7B2_0D63_4DE2_9CFC_2D2B3788802C_.wvu.Cols" hidden="1" oldHidden="1">
    <formula>'ПСБ''XPS'!$L:$Q</formula>
    <oldFormula>'ПСБ''XPS'!$L:$Q</oldFormula>
  </rdn>
  <rdn rId="0" localSheetId="14" customView="1" name="Z_900EF7B2_0D63_4DE2_9CFC_2D2B3788802C_.wvu.PrintArea" hidden="1" oldHidden="1">
    <formula>'смеси''грунтовки'!$A$1:$P$160</formula>
    <oldFormula>'смеси''грунтовки'!$A$1:$P$160</oldFormula>
  </rdn>
  <rdn rId="0" localSheetId="14" customView="1" name="Z_900EF7B2_0D63_4DE2_9CFC_2D2B3788802C_.wvu.Cols" hidden="1" oldHidden="1">
    <formula>'смеси''грунтовки'!$F:$P</formula>
    <oldFormula>'смеси''грунтовки'!$F:$P</oldFormula>
  </rdn>
  <rdn rId="0" localSheetId="15" customView="1" name="Z_900EF7B2_0D63_4DE2_9CFC_2D2B3788802C_.wvu.PrintArea" hidden="1" oldHidden="1">
    <formula>docke!$A$1:$M$37</formula>
    <oldFormula>docke!$A$1:$M$37</oldFormula>
  </rdn>
  <rdn rId="0" localSheetId="15" customView="1" name="Z_900EF7B2_0D63_4DE2_9CFC_2D2B3788802C_.wvu.Cols" hidden="1" oldHidden="1">
    <formula>docke!$I:$M</formula>
    <oldFormula>docke!$I:$M</oldFormula>
  </rdn>
  <rdn rId="0" localSheetId="16" customView="1" name="Z_900EF7B2_0D63_4DE2_9CFC_2D2B3788802C_.wvu.Cols" hidden="1" oldHidden="1">
    <formula>'мастики''битумы'!$H:$I</formula>
    <oldFormula>'мастики''битумы'!$H:$I</oldFormula>
  </rdn>
  <rdn rId="0" localSheetId="17" customView="1" name="Z_900EF7B2_0D63_4DE2_9CFC_2D2B3788802C_.wvu.Cols" hidden="1" oldHidden="1">
    <formula>'Техно Николь Рулонка,ПРАЙМЕР, '!$E:$E</formula>
    <oldFormula>'Техно Николь Рулонка,ПРАЙМЕР, '!$E:$E</oldFormula>
  </rdn>
  <rdn rId="0" localSheetId="19" customView="1" name="Z_900EF7B2_0D63_4DE2_9CFC_2D2B3788802C_.wvu.Cols" hidden="1" oldHidden="1">
    <formula>'КНАУФ ГКЛ, профиля ,смеси'!$C:$C</formula>
    <oldFormula>'КНАУФ ГКЛ, профиля ,смеси'!$C:$C</oldFormula>
  </rdn>
  <rdn rId="0" localSheetId="22" customView="1" name="Z_900EF7B2_0D63_4DE2_9CFC_2D2B3788802C_.wvu.Cols" hidden="1" oldHidden="1">
    <formula>'OSB,ФАНЕРА,ПОЛИКАРБОНАТ'!$C:$C</formula>
    <oldFormula>'OSB,ФАНЕРА,ПОЛИКАРБОНАТ'!$C:$C</oldFormula>
  </rdn>
  <rdn rId="0" localSheetId="33" customView="1" name="Z_900EF7B2_0D63_4DE2_9CFC_2D2B3788802C_.wvu.Rows" hidden="1" oldHidden="1">
    <formula>ВОКС!$4:$4</formula>
  </rdn>
  <rcv guid="{900EF7B2-0D63-4DE2-9CFC-2D2B3788802C}" action="add"/>
</revisions>
</file>

<file path=xl/revisions/revisionLog11311.xml><?xml version="1.0" encoding="utf-8"?>
<revisions xmlns="http://schemas.openxmlformats.org/spreadsheetml/2006/main" xmlns:r="http://schemas.openxmlformats.org/officeDocument/2006/relationships">
  <rcc rId="10381" sId="24">
    <oc r="A1" t="inlineStr">
      <is>
        <t>ООО "ЦЕНТР-ТИМ"   Платонов Иван 89536104242  centrtim57@mail.ru  28/03/19</t>
      </is>
    </oc>
    <nc r="A1"/>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3111.xml><?xml version="1.0" encoding="utf-8"?>
<revisions xmlns="http://schemas.openxmlformats.org/spreadsheetml/2006/main" xmlns:r="http://schemas.openxmlformats.org/officeDocument/2006/relationships">
  <ris rId="9957" sheetId="34" name="[ПРАЙС ЦЕНТР-ТИМ 2019 обновленный.xlsx]Лист1" sheetPosition="33"/>
  <rcc rId="9958" sId="34" odxf="1" s="1" dxf="1">
    <nc r="A4" t="inlineStr">
      <is>
        <t>Цокольный сайдинг Я-Фасад прайс от 01.04.2019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i/>
        <u/>
        <sz val="13"/>
        <color auto="1"/>
        <name val="Arial Cyr"/>
        <scheme val="none"/>
      </font>
      <alignment horizontal="center" vertical="center" readingOrder="0"/>
    </ndxf>
  </rcc>
  <rfmt sheetId="34" s="1" sqref="B4" start="0" length="0">
    <dxf>
      <font>
        <b/>
        <i/>
        <u/>
        <sz val="13"/>
        <color auto="1"/>
        <name val="Arial Cyr"/>
        <scheme val="none"/>
      </font>
      <alignment horizontal="center" vertical="center" readingOrder="0"/>
    </dxf>
  </rfmt>
  <rfmt sheetId="34" s="1" sqref="C4" start="0" length="0">
    <dxf>
      <font>
        <b/>
        <i/>
        <u/>
        <sz val="13"/>
        <color auto="1"/>
        <name val="Arial Cyr"/>
        <scheme val="none"/>
      </font>
      <alignment horizontal="center" vertical="center" readingOrder="0"/>
    </dxf>
  </rfmt>
  <rfmt sheetId="34" s="1" sqref="D4" start="0" length="0">
    <dxf>
      <font>
        <b/>
        <i/>
        <u/>
        <sz val="13"/>
        <color auto="1"/>
        <name val="Arial Cyr"/>
        <scheme val="none"/>
      </font>
      <alignment horizontal="center" vertical="center" readingOrder="0"/>
    </dxf>
  </rfmt>
  <rfmt sheetId="34" s="1" sqref="E4" start="0" length="0">
    <dxf>
      <font>
        <b/>
        <i/>
        <u/>
        <sz val="13"/>
        <color auto="1"/>
        <name val="Arial Cyr"/>
        <scheme val="none"/>
      </font>
      <alignment horizontal="center" vertical="center" readingOrder="0"/>
    </dxf>
  </rfmt>
  <rfmt sheetId="34" s="1" sqref="F4" start="0" length="0">
    <dxf>
      <font>
        <b/>
        <i/>
        <u/>
        <sz val="13"/>
        <color auto="1"/>
        <name val="Arial Cyr"/>
        <scheme val="none"/>
      </font>
      <alignment horizontal="center" vertical="center" readingOrder="0"/>
    </dxf>
  </rfmt>
  <rfmt sheetId="34" s="1" sqref="G4" start="0" length="0">
    <dxf>
      <font>
        <b/>
        <i/>
        <u/>
        <sz val="13"/>
        <color auto="1"/>
        <name val="Arial Cyr"/>
        <scheme val="none"/>
      </font>
      <alignment horizontal="center" vertical="center" readingOrder="0"/>
    </dxf>
  </rfmt>
  <rfmt sheetId="34" s="1" sqref="H4" start="0" length="0">
    <dxf>
      <font>
        <b/>
        <i/>
        <u/>
        <sz val="13"/>
        <color auto="1"/>
        <name val="Arial Cyr"/>
        <scheme val="none"/>
      </font>
      <alignment horizontal="center" vertical="center" readingOrder="0"/>
    </dxf>
  </rfmt>
  <rfmt sheetId="34" s="1" sqref="I4" start="0" length="0">
    <dxf>
      <font>
        <b/>
        <i/>
        <u/>
        <sz val="13"/>
        <color auto="1"/>
        <name val="Arial Cyr"/>
        <scheme val="none"/>
      </font>
      <alignment horizontal="center" vertical="center" readingOrder="0"/>
    </dxf>
  </rfmt>
  <rfmt sheetId="34" s="1" sqref="J4" start="0" length="0">
    <dxf>
      <font>
        <b/>
        <i/>
        <u/>
        <sz val="13"/>
        <color auto="1"/>
        <name val="Arial Cyr"/>
        <scheme val="none"/>
      </font>
      <alignment horizontal="center" vertical="center" readingOrder="0"/>
    </dxf>
  </rfmt>
  <rcc rId="9959" sId="34" odxf="1" s="1" dxf="1">
    <nc r="A5" t="inlineStr">
      <is>
        <r>
          <t>Панели термоформованные "Я-фасад"</t>
        </r>
        <r>
          <rPr>
            <sz val="10"/>
            <rFont val="Arial"/>
            <family val="2"/>
            <charset val="204"/>
          </rPr>
          <t xml:space="preserve"> </t>
        </r>
        <r>
          <rPr>
            <b/>
            <sz val="10"/>
            <color indexed="10"/>
            <rFont val="Arial"/>
            <family val="2"/>
            <charset val="204"/>
          </rPr>
          <t>NEW</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fmt sheetId="34" s="1" sqref="B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C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D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E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F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G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H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I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J5" start="0" length="0">
    <dxf>
      <font>
        <sz val="11"/>
        <color theme="1"/>
        <name val="Calibri"/>
        <scheme val="minor"/>
      </font>
    </dxf>
  </rfmt>
  <rcc rId="9960" sId="34" odxf="1" s="1" dxf="1">
    <nc r="A6" t="inlineStr">
      <is>
        <t>Внешний вид</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cc rId="9961" sId="34" odxf="1" s="1" dxf="1">
    <nc r="B6" t="inlineStr">
      <is>
        <t>Размеры, мм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fmt sheetId="34" s="1" sqref="C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D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cc rId="9962" sId="34" odxf="1" s="1" dxf="1">
    <nc r="E6" t="inlineStr">
      <is>
        <t>Цвета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cc rId="9963" sId="34" odxf="1" s="1" dxf="1">
    <nc r="F6" t="inlineStr">
      <is>
        <t>Цена, руб/шт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fmt sheetId="34" s="1" sqref="G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H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I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J6" start="0" length="0">
    <dxf>
      <font>
        <sz val="11"/>
        <color theme="1"/>
        <name val="Calibri"/>
        <scheme val="minor"/>
      </font>
    </dxf>
  </rfmt>
  <rcc rId="9964" sId="34" odxf="1" s="1" dxf="1">
    <nc r="A7" t="inlineStr">
      <is>
        <t>Панель GL Я-фасад 
Крымский сланец</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alignment horizontal="center" vertical="top" wrapText="1" readingOrder="0"/>
      <border outline="0">
        <left style="thin">
          <color indexed="64"/>
        </left>
        <right style="thin">
          <color indexed="64"/>
        </right>
        <top style="thin">
          <color indexed="64"/>
        </top>
      </border>
    </ndxf>
  </rcc>
  <rcc rId="9965" sId="34" odxf="1" s="1" dxf="1">
    <nc r="B7" t="inlineStr">
      <is>
        <t>Габаритные: длина - 1550, высота - 338
Рабочие: длина - 1487, высота -306</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C7"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D7"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9966" sId="34" odxf="1" s="1" dxf="1">
    <nc r="E7" t="inlineStr">
      <is>
        <t xml:space="preserve">Янтарный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fill>
        <patternFill patternType="solid">
          <bgColor theme="0"/>
        </patternFill>
      </fill>
      <alignment horizontal="center" vertical="center" wrapText="1" readingOrder="0"/>
      <border outline="0">
        <left style="thin">
          <color indexed="64"/>
        </left>
        <right style="thin">
          <color indexed="64"/>
        </right>
        <top style="thin">
          <color indexed="64"/>
        </top>
      </border>
    </ndxf>
  </rcc>
  <rcc rId="9967" sId="34" odxf="1" s="1" dxf="1">
    <nc r="F7">
      <v>410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0"/>
        <color auto="1"/>
        <name val="Arial"/>
        <scheme val="none"/>
      </font>
      <fill>
        <patternFill patternType="solid">
          <bgColor rgb="FFFFFF00"/>
        </patternFill>
      </fill>
      <alignment horizontal="center" vertical="center" readingOrder="0"/>
      <border outline="0">
        <left style="thin">
          <color indexed="64"/>
        </left>
        <top style="thin">
          <color indexed="64"/>
        </top>
      </border>
    </ndxf>
  </rcc>
  <rfmt sheetId="34" s="1" sqref="G7" start="0" length="0">
    <dxf>
      <font>
        <sz val="20"/>
        <color auto="1"/>
        <name val="Arial"/>
        <scheme val="none"/>
      </font>
      <fill>
        <patternFill patternType="solid">
          <bgColor rgb="FFFFFF00"/>
        </patternFill>
      </fill>
      <alignment horizontal="center" vertical="center" readingOrder="0"/>
      <border outline="0">
        <top style="thin">
          <color indexed="64"/>
        </top>
      </border>
    </dxf>
  </rfmt>
  <rfmt sheetId="34" s="1" sqref="H7" start="0" length="0">
    <dxf>
      <font>
        <sz val="20"/>
        <color auto="1"/>
        <name val="Arial"/>
        <scheme val="none"/>
      </font>
      <fill>
        <patternFill patternType="solid">
          <bgColor rgb="FFFFFF00"/>
        </patternFill>
      </fill>
      <alignment horizontal="center" vertical="center" readingOrder="0"/>
      <border outline="0">
        <top style="thin">
          <color indexed="64"/>
        </top>
      </border>
    </dxf>
  </rfmt>
  <rfmt sheetId="34" s="1" sqref="I7" start="0" length="0">
    <dxf>
      <font>
        <sz val="20"/>
        <color auto="1"/>
        <name val="Arial"/>
        <scheme val="none"/>
      </font>
      <fill>
        <patternFill patternType="solid">
          <bgColor rgb="FFFFFF00"/>
        </patternFill>
      </fill>
      <alignment horizontal="center" vertical="center" readingOrder="0"/>
      <border outline="0">
        <right style="thin">
          <color indexed="64"/>
        </right>
        <top style="thin">
          <color indexed="64"/>
        </top>
      </border>
    </dxf>
  </rfmt>
  <rfmt sheetId="34" s="1" sqref="J7" start="0" length="0">
    <dxf>
      <font>
        <sz val="11"/>
        <color theme="1"/>
        <name val="Calibri"/>
        <scheme val="minor"/>
      </font>
    </dxf>
  </rfmt>
  <rfmt sheetId="34" s="1" sqref="A8" start="0" length="0">
    <dxf>
      <font>
        <b/>
        <sz val="10"/>
        <color auto="1"/>
        <name val="Arial"/>
        <scheme val="none"/>
      </font>
      <alignment horizontal="center" vertical="top" wrapText="1" readingOrder="0"/>
      <border outline="0">
        <left style="thin">
          <color auto="1"/>
        </left>
        <right style="thin">
          <color auto="1"/>
        </right>
      </border>
    </dxf>
  </rfmt>
  <rfmt sheetId="34" s="1" sqref="B8"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C8"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D8"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E8" start="0" length="0">
    <dxf>
      <font>
        <sz val="11"/>
        <color theme="1"/>
        <name val="Calibri"/>
        <scheme val="minor"/>
      </font>
      <border outline="0">
        <left style="thin">
          <color indexed="64"/>
        </left>
        <right style="thin">
          <color indexed="64"/>
        </right>
        <bottom style="thin">
          <color indexed="64"/>
        </bottom>
      </border>
    </dxf>
  </rfmt>
  <rfmt sheetId="34" s="1" sqref="F8" start="0" length="0">
    <dxf>
      <font>
        <sz val="20"/>
        <color auto="1"/>
        <name val="Arial"/>
        <scheme val="none"/>
      </font>
      <fill>
        <patternFill patternType="solid">
          <bgColor rgb="FFFFFF00"/>
        </patternFill>
      </fill>
      <alignment horizontal="center" vertical="center" readingOrder="0"/>
      <border outline="0">
        <left style="thin">
          <color indexed="64"/>
        </left>
        <bottom style="thin">
          <color indexed="64"/>
        </bottom>
      </border>
    </dxf>
  </rfmt>
  <rfmt sheetId="34" s="1" sqref="G8" start="0" length="0">
    <dxf>
      <font>
        <sz val="20"/>
        <color auto="1"/>
        <name val="Arial"/>
        <scheme val="none"/>
      </font>
      <fill>
        <patternFill patternType="solid">
          <bgColor rgb="FFFFFF00"/>
        </patternFill>
      </fill>
      <alignment horizontal="center" vertical="center" readingOrder="0"/>
      <border outline="0">
        <bottom style="thin">
          <color auto="1"/>
        </bottom>
      </border>
    </dxf>
  </rfmt>
  <rfmt sheetId="34" s="1" sqref="H8" start="0" length="0">
    <dxf>
      <font>
        <sz val="20"/>
        <color auto="1"/>
        <name val="Arial"/>
        <scheme val="none"/>
      </font>
      <fill>
        <patternFill patternType="solid">
          <bgColor rgb="FFFFFF00"/>
        </patternFill>
      </fill>
      <alignment horizontal="center" vertical="center" readingOrder="0"/>
      <border outline="0">
        <bottom style="thin">
          <color auto="1"/>
        </bottom>
      </border>
    </dxf>
  </rfmt>
  <rfmt sheetId="34" s="1" sqref="I8" start="0" length="0">
    <dxf>
      <font>
        <sz val="20"/>
        <color auto="1"/>
        <name val="Arial"/>
        <scheme val="none"/>
      </font>
      <fill>
        <patternFill patternType="solid">
          <bgColor rgb="FFFFFF00"/>
        </patternFill>
      </fill>
      <alignment horizontal="center" vertical="center" readingOrder="0"/>
      <border outline="0">
        <right style="thin">
          <color indexed="64"/>
        </right>
        <bottom style="thin">
          <color indexed="64"/>
        </bottom>
      </border>
    </dxf>
  </rfmt>
  <rfmt sheetId="34" s="1" sqref="J8" start="0" length="0">
    <dxf>
      <font>
        <sz val="11"/>
        <color theme="1"/>
        <name val="Calibri"/>
        <scheme val="minor"/>
      </font>
    </dxf>
  </rfmt>
  <rfmt sheetId="34" s="1" sqref="A9" start="0" length="0">
    <dxf>
      <font>
        <b/>
        <sz val="10"/>
        <color auto="1"/>
        <name val="Arial"/>
        <scheme val="none"/>
      </font>
      <alignment horizontal="center" vertical="top" wrapText="1" readingOrder="0"/>
      <border outline="0">
        <left style="thin">
          <color indexed="64"/>
        </left>
        <right style="thin">
          <color indexed="64"/>
        </right>
        <bottom style="thin">
          <color indexed="64"/>
        </bottom>
      </border>
    </dxf>
  </rfmt>
  <rcc rId="9968" sId="34" odxf="1" s="1" dxf="1">
    <nc r="B9" t="inlineStr">
      <is>
        <t>Габаритные: длина - 1535, высота - 345
Рабочие: длина - 1476, высота - 312</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alignment horizontal="center" vertical="center" wrapText="1" readingOrder="0"/>
      <border outline="0">
        <left style="thin">
          <color indexed="64"/>
        </left>
        <top style="thin">
          <color indexed="64"/>
        </top>
        <bottom style="thin">
          <color indexed="64"/>
        </bottom>
      </border>
    </ndxf>
  </rcc>
  <rfmt sheetId="34" s="1" sqref="C9" start="0" length="0">
    <dxf>
      <font>
        <sz val="10"/>
        <color auto="1"/>
        <name val="Arial"/>
        <scheme val="none"/>
      </font>
      <alignment horizontal="center" vertical="center" wrapText="1" readingOrder="0"/>
      <border outline="0">
        <top style="thin">
          <color indexed="64"/>
        </top>
        <bottom style="thin">
          <color indexed="64"/>
        </bottom>
      </border>
    </dxf>
  </rfmt>
  <rfmt sheetId="34" s="1" sqref="D9" start="0" length="0">
    <dxf>
      <font>
        <sz val="10"/>
        <color auto="1"/>
        <name val="Arial"/>
        <scheme val="none"/>
      </font>
      <alignment horizontal="center" vertical="center" wrapText="1" readingOrder="0"/>
      <border outline="0">
        <right style="thin">
          <color indexed="64"/>
        </right>
        <top style="thin">
          <color indexed="64"/>
        </top>
        <bottom style="thin">
          <color indexed="64"/>
        </bottom>
      </border>
    </dxf>
  </rfmt>
  <rcc rId="9969" sId="34" odxf="1" s="1" dxf="1">
    <nc r="E9" t="inlineStr">
      <is>
        <t>Лунный камень, Яшма, песок</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fill>
        <patternFill patternType="solid">
          <bgColor theme="0"/>
        </patternFill>
      </fill>
      <alignment horizontal="center" vertical="center" wrapText="1" readingOrder="0"/>
      <border outline="0">
        <left style="thin">
          <color indexed="64"/>
        </left>
        <right style="thin">
          <color indexed="64"/>
        </right>
        <bottom style="thin">
          <color indexed="64"/>
        </bottom>
      </border>
    </ndxf>
  </rcc>
  <rcc rId="9970" sId="34" odxf="1" s="1" dxf="1">
    <nc r="F9">
      <v>390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0"/>
        <color auto="1"/>
        <name val="Arial"/>
        <scheme val="none"/>
      </font>
      <fill>
        <patternFill patternType="solid">
          <bgColor rgb="FFFFFF00"/>
        </patternFill>
      </fill>
      <alignment horizontal="center" vertical="center" readingOrder="0"/>
      <border outline="0">
        <left style="thin">
          <color indexed="64"/>
        </left>
        <top style="thin">
          <color indexed="64"/>
        </top>
        <bottom style="thin">
          <color indexed="64"/>
        </bottom>
      </border>
    </ndxf>
  </rcc>
  <rfmt sheetId="34" s="1" sqref="G9" start="0" length="0">
    <dxf>
      <font>
        <sz val="20"/>
        <color auto="1"/>
        <name val="Arial"/>
        <scheme val="none"/>
      </font>
      <fill>
        <patternFill patternType="solid">
          <bgColor rgb="FFFFFF00"/>
        </patternFill>
      </fill>
      <alignment horizontal="center" vertical="center" readingOrder="0"/>
      <border outline="0">
        <top style="thin">
          <color indexed="64"/>
        </top>
        <bottom style="thin">
          <color indexed="64"/>
        </bottom>
      </border>
    </dxf>
  </rfmt>
  <rfmt sheetId="34" s="1" sqref="H9" start="0" length="0">
    <dxf>
      <font>
        <sz val="20"/>
        <color auto="1"/>
        <name val="Arial"/>
        <scheme val="none"/>
      </font>
      <fill>
        <patternFill patternType="solid">
          <bgColor rgb="FFFFFF00"/>
        </patternFill>
      </fill>
      <alignment horizontal="center" vertical="center" readingOrder="0"/>
      <border outline="0">
        <top style="thin">
          <color indexed="64"/>
        </top>
        <bottom style="thin">
          <color indexed="64"/>
        </bottom>
      </border>
    </dxf>
  </rfmt>
  <rfmt sheetId="34" s="1" sqref="I9" start="0" length="0">
    <dxf>
      <font>
        <sz val="20"/>
        <color auto="1"/>
        <name val="Arial"/>
        <scheme val="none"/>
      </font>
      <fill>
        <patternFill patternType="solid">
          <bgColor rgb="FFFFFF00"/>
        </patternFill>
      </fill>
      <alignment horizontal="center" vertical="center" readingOrder="0"/>
      <border outline="0">
        <right style="thin">
          <color indexed="64"/>
        </right>
        <top style="thin">
          <color indexed="64"/>
        </top>
        <bottom style="thin">
          <color indexed="64"/>
        </bottom>
      </border>
    </dxf>
  </rfmt>
  <rfmt sheetId="34" s="1" sqref="J9" start="0" length="0">
    <dxf>
      <font>
        <sz val="11"/>
        <color theme="1"/>
        <name val="Calibri"/>
        <scheme val="minor"/>
      </font>
    </dxf>
  </rfmt>
  <rcc rId="9971" sId="34" odxf="1" s="1" dxf="1">
    <nc r="A10" t="inlineStr">
      <is>
        <r>
          <t xml:space="preserve">Панель фасадная GL "Я-фасад" 
</t>
        </r>
        <r>
          <rPr>
            <b/>
            <sz val="10"/>
            <rFont val="Arial Cyr"/>
            <charset val="204"/>
          </rPr>
          <t xml:space="preserve">Екатерининский камень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top" wrapText="1" readingOrder="0"/>
      <border outline="0">
        <left style="thin">
          <color indexed="64"/>
        </left>
        <right style="thin">
          <color indexed="64"/>
        </right>
        <top style="thin">
          <color indexed="64"/>
        </top>
        <bottom style="thin">
          <color indexed="64"/>
        </bottom>
      </border>
    </ndxf>
  </rcc>
  <rcc rId="9972" sId="34" odxf="1" s="1" dxf="1">
    <nc r="B10" t="inlineStr">
      <is>
        <t>Габаритные: длина - 1407, высота - 327
Рабочие: длина - 1322, высота - 294</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C10"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4" s="1" sqref="D10"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9973" sId="34" odxf="1" s="1" dxf="1">
    <nc r="E10" t="inlineStr">
      <is>
        <t>янтарь, бронза, графит, железо, серебро, слоновая кость</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74" sId="34" odxf="1" s="1" dxf="1">
    <nc r="F10">
      <v>345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2"/>
        <color auto="1"/>
        <name val="Arial Cyr"/>
        <scheme val="none"/>
      </font>
      <fill>
        <patternFill patternType="solid">
          <bgColor rgb="FFFFFF00"/>
        </patternFill>
      </fill>
      <alignment horizontal="center" vertical="center" readingOrder="0"/>
      <border outline="0">
        <left style="thin">
          <color indexed="64"/>
        </left>
        <top style="thin">
          <color indexed="64"/>
        </top>
        <bottom style="thin">
          <color indexed="64"/>
        </bottom>
      </border>
    </ndxf>
  </rcc>
  <rfmt sheetId="34" s="1" sqref="G10" start="0" length="0">
    <dxf>
      <font>
        <sz val="11"/>
        <color theme="1"/>
        <name val="Calibri"/>
        <scheme val="minor"/>
      </font>
      <fill>
        <patternFill patternType="solid">
          <bgColor rgb="FFFFFF00"/>
        </patternFill>
      </fill>
      <border outline="0">
        <top style="thin">
          <color indexed="64"/>
        </top>
        <bottom style="thin">
          <color indexed="64"/>
        </bottom>
      </border>
    </dxf>
  </rfmt>
  <rfmt sheetId="34" s="1" sqref="H10" start="0" length="0">
    <dxf>
      <font>
        <sz val="11"/>
        <color theme="1"/>
        <name val="Calibri"/>
        <scheme val="minor"/>
      </font>
      <fill>
        <patternFill patternType="solid">
          <bgColor rgb="FFFFFF00"/>
        </patternFill>
      </fill>
      <border outline="0">
        <top style="thin">
          <color indexed="64"/>
        </top>
        <bottom style="thin">
          <color indexed="64"/>
        </bottom>
      </border>
    </dxf>
  </rfmt>
  <rfmt sheetId="34" s="1" sqref="I10" start="0" length="0">
    <dxf>
      <font>
        <sz val="11"/>
        <color theme="1"/>
        <name val="Calibri"/>
        <scheme val="minor"/>
      </font>
      <fill>
        <patternFill patternType="solid">
          <bgColor rgb="FFFFFF00"/>
        </patternFill>
      </fill>
      <border outline="0">
        <right style="thin">
          <color indexed="64"/>
        </right>
        <top style="thin">
          <color indexed="64"/>
        </top>
        <bottom style="thin">
          <color indexed="64"/>
        </bottom>
      </border>
    </dxf>
  </rfmt>
  <rfmt sheetId="34" s="1" sqref="J10" start="0" length="0">
    <dxf>
      <font>
        <sz val="11"/>
        <color theme="1"/>
        <name val="Calibri"/>
        <scheme val="minor"/>
      </font>
    </dxf>
  </rfmt>
  <rcc rId="9975" sId="34" odxf="1" s="1" dxf="1">
    <nc r="A11" t="inlineStr">
      <is>
        <r>
          <t xml:space="preserve">Панель фасадная GL "Я-фасад" 
</t>
        </r>
        <r>
          <rPr>
            <b/>
            <sz val="10"/>
            <rFont val="Arial Cyr"/>
            <charset val="204"/>
          </rPr>
          <t xml:space="preserve">Демидовский кирпич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top" wrapText="1" readingOrder="0"/>
      <border outline="0">
        <left style="thin">
          <color indexed="64"/>
        </left>
        <right style="thin">
          <color indexed="64"/>
        </right>
        <top style="thin">
          <color indexed="64"/>
        </top>
        <bottom style="thin">
          <color indexed="64"/>
        </bottom>
      </border>
    </ndxf>
  </rcc>
  <rcc rId="9976" sId="34" odxf="1" s="1" dxf="1">
    <nc r="B11" t="inlineStr">
      <is>
        <t>Габаритные: длина - 1495, высота - 335
Рабочие: длина - 1475, высота - 306</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C11"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4" s="1" sqref="D11"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9977" sId="34" odxf="1" s="1" dxf="1">
    <nc r="E11" t="inlineStr">
      <is>
        <t>янтарь, песок, бронза, красный, слоновая кость</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78" sId="34" odxf="1" s="1" dxf="1">
    <nc r="F11">
      <v>380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2"/>
        <color auto="1"/>
        <name val="Arial Cyr"/>
        <scheme val="none"/>
      </font>
      <fill>
        <patternFill patternType="solid">
          <bgColor rgb="FFFFFF00"/>
        </patternFill>
      </fill>
      <alignment horizontal="center" vertical="center" readingOrder="0"/>
      <border outline="0">
        <left style="thin">
          <color indexed="64"/>
        </left>
        <top style="thin">
          <color indexed="64"/>
        </top>
        <bottom style="thin">
          <color indexed="64"/>
        </bottom>
      </border>
    </ndxf>
  </rcc>
  <rfmt sheetId="34" s="1" sqref="G11" start="0" length="0">
    <dxf>
      <font>
        <sz val="22"/>
        <color auto="1"/>
        <name val="Arial Cyr"/>
        <scheme val="none"/>
      </font>
      <fill>
        <patternFill patternType="solid">
          <bgColor rgb="FFFFFF00"/>
        </patternFill>
      </fill>
      <alignment horizontal="center" vertical="center" readingOrder="0"/>
      <border outline="0">
        <top style="thin">
          <color indexed="64"/>
        </top>
        <bottom style="thin">
          <color indexed="64"/>
        </bottom>
      </border>
    </dxf>
  </rfmt>
  <rfmt sheetId="34" s="1" sqref="H11" start="0" length="0">
    <dxf>
      <font>
        <sz val="22"/>
        <color auto="1"/>
        <name val="Arial Cyr"/>
        <scheme val="none"/>
      </font>
      <fill>
        <patternFill patternType="solid">
          <bgColor rgb="FFFFFF00"/>
        </patternFill>
      </fill>
      <alignment horizontal="center" vertical="center" readingOrder="0"/>
      <border outline="0">
        <top style="thin">
          <color indexed="64"/>
        </top>
        <bottom style="thin">
          <color indexed="64"/>
        </bottom>
      </border>
    </dxf>
  </rfmt>
  <rfmt sheetId="34" s="1" sqref="I11" start="0" length="0">
    <dxf>
      <font>
        <sz val="22"/>
        <color auto="1"/>
        <name val="Arial Cyr"/>
        <scheme val="none"/>
      </font>
      <fill>
        <patternFill patternType="solid">
          <bgColor rgb="FFFFFF00"/>
        </patternFill>
      </fill>
      <alignment horizontal="center" vertical="center" readingOrder="0"/>
      <border outline="0">
        <right style="thin">
          <color indexed="64"/>
        </right>
        <top style="thin">
          <color indexed="64"/>
        </top>
        <bottom style="thin">
          <color indexed="64"/>
        </bottom>
      </border>
    </dxf>
  </rfmt>
  <rfmt sheetId="34" s="1" sqref="J11" start="0" length="0">
    <dxf>
      <font>
        <sz val="11"/>
        <color theme="1"/>
        <name val="Calibri"/>
        <scheme val="minor"/>
      </font>
    </dxf>
  </rfmt>
  <rcc rId="9979" sId="34" odxf="1" s="1" dxf="1">
    <nc r="A12" t="inlineStr">
      <is>
        <r>
          <t>Панель фасадная GL " Я -фасад"  "</t>
        </r>
        <r>
          <rPr>
            <b/>
            <sz val="10"/>
            <rFont val="Arial Cyr"/>
            <charset val="204"/>
          </rPr>
          <t>Скала"</t>
        </r>
        <r>
          <rPr>
            <sz val="10"/>
            <rFont val="Arial Cyr"/>
            <charset val="204"/>
          </rPr>
          <t xml:space="preserve"> </t>
        </r>
        <r>
          <rPr>
            <b/>
            <sz val="10"/>
            <color indexed="10"/>
            <rFont val="Arial Cyr"/>
            <charset val="204"/>
          </rPr>
          <t xml:space="preserve">NEW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top" wrapText="1" readingOrder="0"/>
      <border outline="0">
        <left style="thin">
          <color indexed="64"/>
        </left>
        <right style="thin">
          <color indexed="64"/>
        </right>
        <top style="thin">
          <color indexed="64"/>
        </top>
        <bottom style="thin">
          <color indexed="64"/>
        </bottom>
      </border>
    </ndxf>
  </rcc>
  <rcc rId="9980" sId="34" odxf="1" s="1" dxf="1">
    <nc r="B12" t="inlineStr">
      <is>
        <t xml:space="preserve">Габаритные : длина 1535 , высота 345 Рабочие : длинна 1476. высота 312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top style="thin">
          <color indexed="64"/>
        </top>
        <bottom style="thin">
          <color indexed="64"/>
        </bottom>
      </border>
    </ndxf>
  </rcc>
  <rfmt sheetId="34" s="1" sqref="C12" start="0" length="0">
    <dxf>
      <font>
        <sz val="10"/>
        <color auto="1"/>
        <name val="Arial Cyr"/>
        <scheme val="none"/>
      </font>
      <fill>
        <patternFill patternType="solid">
          <bgColor theme="0"/>
        </patternFill>
      </fill>
      <alignment horizontal="center" vertical="center" wrapText="1" readingOrder="0"/>
      <border outline="0">
        <top style="thin">
          <color indexed="64"/>
        </top>
        <bottom style="thin">
          <color indexed="64"/>
        </bottom>
      </border>
    </dxf>
  </rfmt>
  <rfmt sheetId="34" s="1" sqref="D12" start="0" length="0">
    <dxf>
      <font>
        <sz val="10"/>
        <color auto="1"/>
        <name val="Arial Cyr"/>
        <scheme val="none"/>
      </font>
      <fill>
        <patternFill patternType="solid">
          <bgColor theme="0"/>
        </patternFill>
      </fill>
      <alignment horizontal="center" vertical="center" wrapText="1" readingOrder="0"/>
      <border outline="0">
        <right style="thin">
          <color indexed="64"/>
        </right>
        <top style="thin">
          <color indexed="64"/>
        </top>
        <bottom style="thin">
          <color indexed="64"/>
        </bottom>
      </border>
    </dxf>
  </rfmt>
  <rcc rId="9981" sId="34" odxf="1" s="1" dxf="1">
    <nc r="E12" t="inlineStr">
      <is>
        <t>жемчуг, слоновая кость</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82" sId="34" odxf="1" s="1" dxf="1">
    <nc r="F12" t="inlineStr">
      <is>
        <t xml:space="preserve">420 руб/ 395 руб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2"/>
        <color auto="1"/>
        <name val="Arial Cyr"/>
        <scheme val="none"/>
      </font>
      <fill>
        <patternFill patternType="solid">
          <bgColor rgb="FFFFFF00"/>
        </patternFill>
      </fill>
      <alignment vertical="center" readingOrder="0"/>
      <border outline="0">
        <left style="thin">
          <color indexed="64"/>
        </left>
        <top style="thin">
          <color indexed="64"/>
        </top>
        <bottom style="thin">
          <color indexed="64"/>
        </bottom>
      </border>
    </ndxf>
  </rcc>
  <rfmt sheetId="34" s="1" sqref="G12" start="0" length="0">
    <dxf>
      <font>
        <sz val="22"/>
        <color auto="1"/>
        <name val="Arial Cyr"/>
        <scheme val="none"/>
      </font>
      <fill>
        <patternFill patternType="solid">
          <bgColor rgb="FFFFFF00"/>
        </patternFill>
      </fill>
      <alignment vertical="center" readingOrder="0"/>
      <border outline="0">
        <top style="thin">
          <color indexed="64"/>
        </top>
        <bottom style="thin">
          <color indexed="64"/>
        </bottom>
      </border>
    </dxf>
  </rfmt>
  <rfmt sheetId="34" s="1" sqref="H12" start="0" length="0">
    <dxf>
      <font>
        <sz val="22"/>
        <color auto="1"/>
        <name val="Arial Cyr"/>
        <scheme val="none"/>
      </font>
      <fill>
        <patternFill patternType="solid">
          <bgColor rgb="FFFFFF00"/>
        </patternFill>
      </fill>
      <alignment vertical="center" readingOrder="0"/>
      <border outline="0">
        <top style="thin">
          <color indexed="64"/>
        </top>
        <bottom style="thin">
          <color indexed="64"/>
        </bottom>
      </border>
    </dxf>
  </rfmt>
  <rfmt sheetId="34" s="1" sqref="I12" start="0" length="0">
    <dxf>
      <font>
        <sz val="22"/>
        <color auto="1"/>
        <name val="Arial Cyr"/>
        <scheme val="none"/>
      </font>
      <fill>
        <patternFill patternType="solid">
          <bgColor rgb="FFFFFF00"/>
        </patternFill>
      </fill>
      <alignment vertical="center" readingOrder="0"/>
      <border outline="0">
        <right style="thin">
          <color indexed="64"/>
        </right>
        <top style="thin">
          <color indexed="64"/>
        </top>
        <bottom style="thin">
          <color indexed="64"/>
        </bottom>
      </border>
    </dxf>
  </rfmt>
  <rfmt sheetId="34" s="1" sqref="J12" start="0" length="0">
    <dxf>
      <font>
        <sz val="11"/>
        <color theme="1"/>
        <name val="Calibri"/>
        <scheme val="minor"/>
      </font>
    </dxf>
  </rfmt>
  <rcc rId="9983" sId="34" odxf="1" s="1" dxf="1">
    <nc r="A13" t="inlineStr">
      <is>
        <t>Стартовый элемент для фасадной панели GL</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4" s="1" sqref="B13" start="0" length="0">
    <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4" s="1" sqref="C13" start="0" length="0">
    <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9984" sId="34" odxf="1" s="1" dxf="1">
    <nc r="D13" t="inlineStr">
      <is>
        <t>Расход в среднем 4 шт на 1,5 п.м. периметра дома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E13"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9985" sId="34" odxf="1" s="1" dxf="1">
    <nc r="F13" t="inlineStr">
      <is>
        <t>16 руб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G13" start="0" length="0">
    <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H13" start="0" length="0">
    <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I13" start="0" length="0">
    <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J13" start="0" length="0">
    <dxf>
      <font>
        <sz val="11"/>
        <color theme="1"/>
        <name val="Calibri"/>
        <scheme val="minor"/>
      </font>
    </dxf>
  </rfmt>
  <rfmt sheetId="34" s="1" sqref="A14" start="0" length="0">
    <dxf>
      <font>
        <sz val="11"/>
        <color theme="1"/>
        <name val="Calibri"/>
        <scheme val="minor"/>
      </font>
    </dxf>
  </rfmt>
  <rfmt sheetId="34" s="1" sqref="B14" start="0" length="0">
    <dxf>
      <font>
        <sz val="11"/>
        <color theme="1"/>
        <name val="Calibri"/>
        <scheme val="minor"/>
      </font>
    </dxf>
  </rfmt>
  <rfmt sheetId="34" s="1" sqref="C14" start="0" length="0">
    <dxf>
      <font>
        <sz val="11"/>
        <color theme="1"/>
        <name val="Calibri"/>
        <scheme val="minor"/>
      </font>
    </dxf>
  </rfmt>
  <rfmt sheetId="34" s="1" sqref="D14" start="0" length="0">
    <dxf>
      <font>
        <sz val="11"/>
        <color theme="1"/>
        <name val="Calibri"/>
        <scheme val="minor"/>
      </font>
    </dxf>
  </rfmt>
  <rfmt sheetId="34" s="1" sqref="E14" start="0" length="0">
    <dxf>
      <font>
        <sz val="11"/>
        <color theme="1"/>
        <name val="Calibri"/>
        <scheme val="minor"/>
      </font>
    </dxf>
  </rfmt>
  <rfmt sheetId="34" s="1" sqref="F14" start="0" length="0">
    <dxf>
      <font>
        <sz val="11"/>
        <color theme="1"/>
        <name val="Calibri"/>
        <scheme val="minor"/>
      </font>
    </dxf>
  </rfmt>
  <rfmt sheetId="34" s="1" sqref="G14" start="0" length="0">
    <dxf>
      <font>
        <sz val="11"/>
        <color theme="1"/>
        <name val="Calibri"/>
        <scheme val="minor"/>
      </font>
    </dxf>
  </rfmt>
  <rfmt sheetId="34" s="1" sqref="H14" start="0" length="0">
    <dxf>
      <font>
        <sz val="11"/>
        <color theme="1"/>
        <name val="Calibri"/>
        <scheme val="minor"/>
      </font>
    </dxf>
  </rfmt>
  <rfmt sheetId="34" s="1" sqref="I14" start="0" length="0">
    <dxf>
      <font>
        <sz val="11"/>
        <color theme="1"/>
        <name val="Calibri"/>
        <scheme val="minor"/>
      </font>
    </dxf>
  </rfmt>
  <rfmt sheetId="34" s="1" sqref="J14" start="0" length="0">
    <dxf>
      <font>
        <sz val="11"/>
        <color theme="1"/>
        <name val="Calibri"/>
        <scheme val="minor"/>
      </font>
    </dxf>
  </rfmt>
  <rfmt sheetId="34" s="1" sqref="A15" start="0" length="0">
    <dxf>
      <font>
        <sz val="11"/>
        <color theme="1"/>
        <name val="Calibri"/>
        <scheme val="minor"/>
      </font>
    </dxf>
  </rfmt>
  <rfmt sheetId="34" s="1" sqref="B15" start="0" length="0">
    <dxf>
      <font>
        <sz val="11"/>
        <color theme="1"/>
        <name val="Calibri"/>
        <scheme val="minor"/>
      </font>
    </dxf>
  </rfmt>
  <rfmt sheetId="34" s="1" sqref="C15" start="0" length="0">
    <dxf>
      <font>
        <sz val="11"/>
        <color theme="1"/>
        <name val="Calibri"/>
        <scheme val="minor"/>
      </font>
    </dxf>
  </rfmt>
  <rfmt sheetId="34" s="1" sqref="D15" start="0" length="0">
    <dxf>
      <font>
        <sz val="11"/>
        <color theme="1"/>
        <name val="Calibri"/>
        <scheme val="minor"/>
      </font>
    </dxf>
  </rfmt>
  <rfmt sheetId="34" s="1" sqref="E15" start="0" length="0">
    <dxf>
      <font>
        <sz val="11"/>
        <color theme="1"/>
        <name val="Calibri"/>
        <scheme val="minor"/>
      </font>
    </dxf>
  </rfmt>
  <rfmt sheetId="34" s="1" sqref="F15" start="0" length="0">
    <dxf>
      <font>
        <sz val="11"/>
        <color theme="1"/>
        <name val="Calibri"/>
        <scheme val="minor"/>
      </font>
    </dxf>
  </rfmt>
  <rfmt sheetId="34" s="1" sqref="G15" start="0" length="0">
    <dxf>
      <font>
        <sz val="11"/>
        <color theme="1"/>
        <name val="Calibri"/>
        <scheme val="minor"/>
      </font>
    </dxf>
  </rfmt>
  <rfmt sheetId="34" s="1" sqref="H15" start="0" length="0">
    <dxf>
      <font>
        <sz val="11"/>
        <color theme="1"/>
        <name val="Calibri"/>
        <scheme val="minor"/>
      </font>
    </dxf>
  </rfmt>
  <rfmt sheetId="34" s="1" sqref="I15" start="0" length="0">
    <dxf>
      <font>
        <sz val="11"/>
        <color theme="1"/>
        <name val="Calibri"/>
        <scheme val="minor"/>
      </font>
    </dxf>
  </rfmt>
  <rfmt sheetId="34" s="1" sqref="J15" start="0" length="0">
    <dxf>
      <font>
        <sz val="11"/>
        <color theme="1"/>
        <name val="Calibri"/>
        <scheme val="minor"/>
      </font>
    </dxf>
  </rfmt>
  <rcc rId="9986" sId="34" odxf="1" s="1" dxf="1">
    <nc r="A16" t="inlineStr">
      <is>
        <t>Наименование</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87" sId="34" odxf="1" s="1" dxf="1">
    <nc r="B16" t="inlineStr">
      <is>
        <t>Рисунок</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88" sId="34" odxf="1" s="1" dxf="1">
    <nc r="C16" t="inlineStr">
      <is>
        <t>Длина,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89" sId="34" odxf="1" s="1" dxf="1">
    <nc r="D16" t="inlineStr">
      <is>
        <t>Кол-во шт. в упаковке</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90" sId="34" odxf="1" s="1" dxf="1">
    <nc r="E16" t="inlineStr">
      <is>
        <t>Цена, руб.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34" s="1" sqref="F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G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H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I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J16" start="0" length="0">
    <dxf>
      <font>
        <sz val="11"/>
        <color theme="1"/>
        <name val="Calibri"/>
        <scheme val="minor"/>
      </font>
    </dxf>
  </rfmt>
  <rfmt sheetId="34" s="1" sqref="A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fmt sheetId="34" s="1" sqref="B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fmt sheetId="34" s="1" sqref="C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fmt sheetId="34" s="1" sqref="D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cc rId="9991" sId="34" odxf="1" s="1" dxf="1">
    <nc r="E17" t="inlineStr">
      <is>
        <t>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2" sId="34" odxf="1" s="1" dxf="1">
    <nc r="F17" t="inlineStr">
      <is>
        <t>бежевый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3" sId="34" odxf="1" s="1" dxf="1">
    <nc r="G17" t="inlineStr">
      <is>
        <t>ванильный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4" sId="34" odxf="1" s="1" dxf="1">
    <nc r="H17" t="inlineStr">
      <is>
        <t>карамельный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5" sId="34" odxf="1" s="1" dxf="1">
    <nc r="I17" t="inlineStr">
      <is>
        <t>темный дуб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34" s="1" sqref="J17" start="0" length="0">
    <dxf>
      <font>
        <sz val="11"/>
        <color theme="1"/>
        <name val="Calibri"/>
        <scheme val="minor"/>
      </font>
    </dxf>
  </rfmt>
  <rcc rId="9996" sId="34" odxf="1" s="1" dxf="1">
    <nc r="A18" t="inlineStr">
      <is>
        <t>Декоративная система GL Я-фасад</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34" s="1" sqref="B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C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D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E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F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G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H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I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J18" start="0" length="0">
    <dxf>
      <font>
        <sz val="11"/>
        <color theme="1"/>
        <name val="Calibri"/>
        <scheme val="minor"/>
      </font>
    </dxf>
  </rfmt>
  <rcc rId="9997" sId="34" odxf="1" s="1" dxf="1">
    <nc r="A19" t="inlineStr">
      <is>
        <t>Планка (наличник) наборная для составного угла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19" start="0" length="0">
    <dxf>
      <font>
        <sz val="10"/>
        <color auto="1"/>
        <name val="Arial Cyr"/>
        <scheme val="none"/>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998" sId="34" odxf="1" s="1" dxf="1" numFmtId="4">
    <nc r="C19">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9" sId="34" odxf="1" s="1" dxf="1">
    <nc r="D19">
      <v>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00" sId="34" odxf="1" s="1" dxf="1" numFmtId="4">
    <nc r="E19">
      <v>267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1" sId="34" odxf="1" s="1" dxf="1" numFmtId="4">
    <nc r="F19">
      <v>267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2" sId="34" odxf="1" s="1" dxf="1" numFmtId="4">
    <nc r="G19">
      <v>267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3" sId="34" odxf="1" s="1" dxf="1" numFmtId="4">
    <nc r="H19">
      <v>413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4" sId="34" odxf="1" s="1" dxf="1" numFmtId="4">
    <nc r="I19">
      <v>590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19" start="0" length="0">
    <dxf>
      <font>
        <sz val="11"/>
        <color theme="1"/>
        <name val="Calibri"/>
        <scheme val="minor"/>
      </font>
    </dxf>
  </rfmt>
  <rcc rId="10005" sId="34" odxf="1" s="1" dxf="1">
    <nc r="A20" t="inlineStr">
      <is>
        <t>Планка приоконная широкая 7/8''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20" start="0" length="0">
    <dxf>
      <font>
        <sz val="10"/>
        <color auto="1"/>
        <name val="Arial Cyr"/>
        <scheme val="none"/>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10006" sId="34" odxf="1" s="1" dxf="1" numFmtId="4">
    <nc r="C20">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07" sId="34" odxf="1" s="1" dxf="1">
    <nc r="D20">
      <v>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08" sId="34" odxf="1" s="1" dxf="1" numFmtId="4">
    <nc r="E20">
      <v>642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F20" start="0" length="0">
    <dxf>
      <font>
        <sz val="10"/>
        <color auto="1"/>
        <name val="Arial Cyr"/>
        <scheme val="none"/>
      </font>
      <numFmt numFmtId="2"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34" s="1" sqref="G20" start="0" length="0">
    <dxf>
      <font>
        <sz val="10"/>
        <color auto="1"/>
        <name val="Arial Cyr"/>
        <scheme val="none"/>
      </font>
      <numFmt numFmtId="2"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34" s="1" sqref="H20" start="0" length="0">
    <dxf>
      <font>
        <sz val="10"/>
        <color auto="1"/>
        <name val="Arial Cyr"/>
        <scheme val="none"/>
      </font>
      <numFmt numFmtId="2"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10009" sId="34" odxf="1" s="1" dxf="1" numFmtId="4">
    <nc r="I20">
      <v>1125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0" start="0" length="0">
    <dxf>
      <font>
        <sz val="11"/>
        <color theme="1"/>
        <name val="Calibri"/>
        <scheme val="minor"/>
      </font>
    </dxf>
  </rfmt>
  <rcc rId="10010" sId="34" odxf="1" s="1" dxf="1">
    <nc r="A21" t="inlineStr">
      <is>
        <t>Планка радиусная для составного угла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21" start="0" length="0">
    <dxf>
      <font>
        <sz val="10"/>
        <color auto="1"/>
        <name val="Arial Cyr"/>
        <scheme val="none"/>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10011" sId="34" odxf="1" s="1" dxf="1" numFmtId="4">
    <nc r="C21">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12" sId="34" odxf="1" s="1" dxf="1">
    <nc r="D21">
      <v>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13" sId="34" odxf="1" s="1" dxf="1" numFmtId="4">
    <nc r="E21">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4" sId="34" odxf="1" s="1" dxf="1" numFmtId="4">
    <nc r="F21">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5" sId="34" odxf="1" s="1" dxf="1" numFmtId="4">
    <nc r="G21">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6" sId="34" odxf="1" s="1" dxf="1" numFmtId="4">
    <nc r="H21">
      <v>452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7" sId="34" odxf="1" s="1" dxf="1" numFmtId="4">
    <nc r="I21">
      <v>649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1" start="0" length="0">
    <dxf>
      <font>
        <sz val="11"/>
        <color theme="1"/>
        <name val="Calibri"/>
        <scheme val="minor"/>
      </font>
    </dxf>
  </rfmt>
  <rcc rId="10018" sId="34" odxf="1" s="1" dxf="1">
    <nc r="A22" t="inlineStr">
      <is>
        <t>Профиль универсальный J 7/8'' 3,00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22" start="0" length="0">
    <dxf>
      <font>
        <sz val="10"/>
        <color auto="1"/>
        <name val="Arial Cyr"/>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10019" sId="34" odxf="1" s="1" dxf="1" numFmtId="4">
    <nc r="C22">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20" sId="34" odxf="1" s="1" dxf="1">
    <nc r="D22">
      <v>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21" sId="34" odxf="1" s="1" dxf="1" numFmtId="4">
    <nc r="E22">
      <v>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2" sId="34" odxf="1" s="1" dxf="1" numFmtId="4">
    <nc r="F22">
      <v>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3" sId="34" odxf="1" s="1" dxf="1" numFmtId="4">
    <nc r="G22">
      <v>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4" sId="34" odxf="1" s="1" dxf="1" numFmtId="4">
    <nc r="H22">
      <v>216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5" sId="34" odxf="1" s="1" dxf="1" numFmtId="4">
    <nc r="I22">
      <v>310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2" start="0" length="0">
    <dxf>
      <font>
        <sz val="11"/>
        <color theme="1"/>
        <name val="Calibri"/>
        <scheme val="minor"/>
      </font>
    </dxf>
  </rfmt>
  <rfmt sheetId="34" s="1" sqref="A23" start="0" length="0">
    <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dxf>
  </rfmt>
  <rfmt sheetId="34" s="1" sqref="B23" start="0" length="0">
    <dxf>
      <font>
        <sz val="10"/>
        <color auto="1"/>
        <name val="Arial Cyr"/>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34" s="1" sqref="C23" start="0" length="0">
    <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D23" start="0" length="0">
    <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E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F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G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H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I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J23" start="0" length="0">
    <dxf>
      <font>
        <sz val="11"/>
        <color theme="1"/>
        <name val="Calibri"/>
        <scheme val="minor"/>
      </font>
    </dxf>
  </rfmt>
  <rcc rId="10026" sId="34" odxf="1" s="1" dxf="1">
    <nc r="A24" t="inlineStr">
      <is>
        <t>Угол прямой GL Яфасад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alignment vertical="center" wrapText="1" readingOrder="0"/>
      <border outline="0">
        <left style="thin">
          <color indexed="64"/>
        </left>
        <right style="thin">
          <color indexed="64"/>
        </right>
        <top style="thin">
          <color indexed="64"/>
        </top>
        <bottom style="thin">
          <color indexed="64"/>
        </bottom>
      </border>
    </ndxf>
  </rcc>
  <rfmt sheetId="34" s="1" sqref="B24" start="0" length="0">
    <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dxf>
  </rfmt>
  <rcc rId="10027" sId="34" odxf="1" s="1" dxf="1">
    <nc r="C24">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cc rId="10028" sId="34" odxf="1" s="1" dxf="1">
    <nc r="D24">
      <v>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cc rId="10029" sId="34" odxf="1" s="1" dxf="1">
    <nc r="E24">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30" sId="34" odxf="1" s="1" dxf="1">
    <nc r="F24" t="inlineStr">
      <is>
        <t>-</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10031" sId="34" odxf="1" s="1" dxf="1">
    <nc r="G24" t="inlineStr">
      <is>
        <t>-</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10032" sId="34" odxf="1" s="1" dxf="1">
    <nc r="H24">
      <v>452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33" sId="34" odxf="1" s="1" dxf="1">
    <nc r="I24">
      <v>649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4" start="0" length="0">
    <dxf>
      <font>
        <sz val="11"/>
        <color theme="1"/>
        <name val="Calibri"/>
        <scheme val="minor"/>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evisions>
</file>

<file path=xl/revisions/revisionLog113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4.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41.xml><?xml version="1.0" encoding="utf-8"?>
<revisions xmlns="http://schemas.openxmlformats.org/spreadsheetml/2006/main" xmlns:r="http://schemas.openxmlformats.org/officeDocument/2006/relationships">
  <rcc rId="12687" sId="14">
    <oc r="B3" t="inlineStr">
      <is>
        <t xml:space="preserve">Наименование продукции "ЭТАЛОН"    </t>
      </is>
    </oc>
    <nc r="B3" t="inlineStr">
      <is>
        <t xml:space="preserve">Наименование продукции   </t>
      </is>
    </nc>
  </rcc>
  <rcc rId="12688" sId="14">
    <oc r="B6" t="inlineStr">
      <is>
        <t>Сухие строительные смеси</t>
      </is>
    </oc>
    <nc r="B6" t="inlineStr">
      <is>
        <t>Сухие строительные смеси ЭТАЛОН</t>
      </is>
    </nc>
  </rcc>
  <rfmt sheetId="14" sqref="B6:J6">
    <dxf>
      <fill>
        <patternFill patternType="solid">
          <bgColor rgb="FFFFFF00"/>
        </patternFill>
      </fill>
    </dxf>
  </rfmt>
  <rfmt sheetId="14" sqref="B28:J28">
    <dxf>
      <fill>
        <patternFill patternType="solid">
          <bgColor rgb="FFFFFF00"/>
        </patternFill>
      </fill>
    </dxf>
  </rfmt>
  <rfmt sheetId="14" sqref="B33:J33">
    <dxf>
      <fill>
        <patternFill patternType="solid">
          <bgColor rgb="FFFFFF00"/>
        </patternFill>
      </fill>
    </dxf>
  </rfmt>
  <rfmt sheetId="14" sqref="B40:J40">
    <dxf>
      <fill>
        <patternFill patternType="solid">
          <bgColor rgb="FFFFFF00"/>
        </patternFill>
      </fill>
    </dxf>
  </rfmt>
  <rfmt sheetId="14" sqref="B43:E45">
    <dxf>
      <fill>
        <patternFill patternType="solid">
          <bgColor rgb="FFFFFF00"/>
        </patternFill>
      </fill>
    </dxf>
  </rfmt>
  <rfmt sheetId="14" sqref="B68:E70">
    <dxf>
      <fill>
        <patternFill patternType="solid">
          <bgColor rgb="FFFFFF00"/>
        </patternFill>
      </fill>
    </dxf>
  </rfmt>
  <rfmt sheetId="14" sqref="B87:E89">
    <dxf>
      <fill>
        <patternFill patternType="solid">
          <bgColor rgb="FFFFFF00"/>
        </patternFill>
      </fill>
    </dxf>
  </rfmt>
  <rfmt sheetId="14" sqref="B28:J28">
    <dxf>
      <fill>
        <patternFill>
          <bgColor theme="0"/>
        </patternFill>
      </fill>
    </dxf>
  </rfmt>
  <rfmt sheetId="14" sqref="B33:J33">
    <dxf>
      <fill>
        <patternFill>
          <bgColor theme="0"/>
        </patternFill>
      </fill>
    </dxf>
  </rfmt>
  <rcv guid="{900EF7B2-0D63-4DE2-9CFC-2D2B3788802C}" action="delete"/>
  <rdn rId="0" localSheetId="1" customView="1" name="Z_900EF7B2_0D63_4DE2_9CFC_2D2B3788802C_.wvu.PrintArea" hidden="1" oldHidden="1">
    <formula>'ЦЕНТР-ТИМ'!$A$1:$Q$208</formula>
    <oldFormula>'ЦЕНТР-ТИМ'!$A$1:$Q$208</oldFormula>
  </rdn>
  <rdn rId="0" localSheetId="2" customView="1" name="Z_900EF7B2_0D63_4DE2_9CFC_2D2B3788802C_.wvu.PrintArea" hidden="1" oldHidden="1">
    <formula>HotRock!$A$1:$P$31</formula>
    <oldFormula>HotRock!$A$1:$P$31</oldFormula>
  </rdn>
  <rdn rId="0" localSheetId="2" customView="1" name="Z_900EF7B2_0D63_4DE2_9CFC_2D2B3788802C_.wvu.Cols" hidden="1" oldHidden="1">
    <formula>HotRock!$L:$P</formula>
    <oldFormula>HotRock!$L:$P</oldFormula>
  </rdn>
  <rdn rId="0" localSheetId="3" customView="1" name="Z_900EF7B2_0D63_4DE2_9CFC_2D2B3788802C_.wvu.PrintArea" hidden="1" oldHidden="1">
    <formula>ISOROC!$A$1:$T$14</formula>
    <oldFormula>ISOROC!$A$1:$T$14</oldFormula>
  </rdn>
  <rdn rId="0" localSheetId="3" customView="1" name="Z_900EF7B2_0D63_4DE2_9CFC_2D2B3788802C_.wvu.Cols" hidden="1" oldHidden="1">
    <formula>ISOROC!$M:$T</formula>
    <oldFormula>ISOROC!$M:$T</oldFormula>
  </rdn>
  <rdn rId="0" localSheetId="4" customView="1" name="Z_900EF7B2_0D63_4DE2_9CFC_2D2B3788802C_.wvu.PrintArea" hidden="1" oldHidden="1">
    <formula>IZOVOL!$A$1:$L$20</formula>
    <oldFormula>IZOVOL!$A$1:$L$20</oldFormula>
  </rdn>
  <rdn rId="0" localSheetId="4" customView="1" name="Z_900EF7B2_0D63_4DE2_9CFC_2D2B3788802C_.wvu.Cols" hidden="1" oldHidden="1">
    <formula>IZOVOL!$H:$J</formula>
    <oldFormula>IZOVOL!$H:$J</oldFormula>
  </rdn>
  <rdn rId="0" localSheetId="5" customView="1" name="Z_900EF7B2_0D63_4DE2_9CFC_2D2B3788802C_.wvu.PrintArea" hidden="1" oldHidden="1">
    <formula>ROCKWOOL!$A$1:$H$36</formula>
    <oldFormula>ROCKWOOL!$A$1:$H$36</oldFormula>
  </rdn>
  <rdn rId="0" localSheetId="5" customView="1" name="Z_900EF7B2_0D63_4DE2_9CFC_2D2B3788802C_.wvu.Cols" hidden="1" oldHidden="1">
    <formula>ROCKWOOL!$G:$G</formula>
    <oldFormula>ROCKWOOL!$G:$G</oldFormula>
  </rdn>
  <rdn rId="0" localSheetId="6" customView="1" name="Z_900EF7B2_0D63_4DE2_9CFC_2D2B3788802C_.wvu.PrintArea" hidden="1" oldHidden="1">
    <formula>техноНИКОЛЬ!$A$1:$L$20</formula>
    <oldFormula>техноНИКОЛЬ!$A$1:$L$20</oldFormula>
  </rdn>
  <rdn rId="0" localSheetId="6" customView="1" name="Z_900EF7B2_0D63_4DE2_9CFC_2D2B3788802C_.wvu.Cols" hidden="1" oldHidden="1">
    <formula>техноНИКОЛЬ!$H:$L</formula>
    <oldFormula>техноНИКОЛЬ!$H:$L</oldFormula>
  </rdn>
  <rdn rId="0" localSheetId="21" customView="1" name="Z_900EF7B2_0D63_4DE2_9CFC_2D2B3788802C_.wvu.Cols" hidden="1" oldHidden="1">
    <formula>'Differo МИНПЛИТА'!$I:$J</formula>
    <oldFormula>'Differo МИНПЛИТА'!$I:$J</oldFormula>
  </rdn>
  <rdn rId="0" localSheetId="23" customView="1" name="Z_900EF7B2_0D63_4DE2_9CFC_2D2B3788802C_.wvu.Cols" hidden="1" oldHidden="1">
    <formula>PAROC!$C:$C</formula>
    <oldFormula>PAROC!$C:$C</oldFormula>
  </rdn>
  <rdn rId="0" localSheetId="11" customView="1" name="Z_900EF7B2_0D63_4DE2_9CFC_2D2B3788802C_.wvu.PrintArea" hidden="1" oldHidden="1">
    <formula>'ГКЛ Даногипс,ГИПРОК'!$A$1:$I$29</formula>
    <oldFormula>'ГКЛ Даногипс,ГИПРОК'!$A$1:$I$29</oldFormula>
  </rdn>
  <rdn rId="0" localSheetId="11" customView="1" name="Z_900EF7B2_0D63_4DE2_9CFC_2D2B3788802C_.wvu.Cols" hidden="1" oldHidden="1">
    <formula>'ГКЛ Даногипс,ГИПРОК'!$G:$H</formula>
    <oldFormula>'ГКЛ Даногипс,ГИПРОК'!$G:$H</oldFormula>
  </rdn>
  <rdn rId="0" localSheetId="7" customView="1" name="Z_900EF7B2_0D63_4DE2_9CFC_2D2B3788802C_.wvu.PrintArea" hidden="1" oldHidden="1">
    <formula>'профили ГКЛ'!$A$1:$N$39</formula>
    <oldFormula>'профили ГКЛ'!$A$1:$N$39</oldFormula>
  </rdn>
  <rdn rId="0" localSheetId="7" customView="1" name="Z_900EF7B2_0D63_4DE2_9CFC_2D2B3788802C_.wvu.Cols" hidden="1" oldHidden="1">
    <formula>'профили ГКЛ'!$O:$S</formula>
    <oldFormula>'профили ГКЛ'!$O:$S</oldFormula>
  </rdn>
  <rdn rId="0" localSheetId="8" customView="1" name="Z_900EF7B2_0D63_4DE2_9CFC_2D2B3788802C_.wvu.PrintArea" hidden="1" oldHidden="1">
    <formula>'профили НВФ'!$A$1:$K$66</formula>
    <oldFormula>'профили НВФ'!$A$1:$K$66</oldFormula>
  </rdn>
  <rdn rId="0" localSheetId="8" customView="1" name="Z_900EF7B2_0D63_4DE2_9CFC_2D2B3788802C_.wvu.Cols" hidden="1" oldHidden="1">
    <formula>'профили НВФ'!$I:$K</formula>
    <oldFormula>'профили НВФ'!$I:$K</oldFormula>
  </rdn>
  <rdn rId="0" localSheetId="9" customView="1" name="Z_900EF7B2_0D63_4DE2_9CFC_2D2B3788802C_.wvu.Cols" hidden="1" oldHidden="1">
    <formula>'ИЗМ''ИЗО''ИЗТ'!$D:$D</formula>
    <oldFormula>'ИЗМ''ИЗО''ИЗТ'!$D:$D</oldFormula>
  </rdn>
  <rdn rId="0" localSheetId="10" customView="1" name="Z_900EF7B2_0D63_4DE2_9CFC_2D2B3788802C_.wvu.PrintArea" hidden="1" oldHidden="1">
    <formula>'плёнки''всп.п-эн'!$A$1:$L$78</formula>
    <oldFormula>'плёнки''всп.п-эн'!$A$1:$L$78</oldFormula>
  </rdn>
  <rdn rId="0" localSheetId="10" customView="1" name="Z_900EF7B2_0D63_4DE2_9CFC_2D2B3788802C_.wvu.Rows" hidden="1" oldHidden="1">
    <formula>'плёнки''всп.п-эн'!$17:$24</formula>
    <oldFormula>'плёнки''всп.п-эн'!$17:$24</oldFormula>
  </rdn>
  <rdn rId="0" localSheetId="10" customView="1" name="Z_900EF7B2_0D63_4DE2_9CFC_2D2B3788802C_.wvu.Cols" hidden="1" oldHidden="1">
    <formula>'плёнки''всп.п-эн'!$I:$K</formula>
    <oldFormula>'плёнки''всп.п-эн'!$I:$K</oldFormula>
  </rdn>
  <rdn rId="0" localSheetId="12" customView="1" name="Z_900EF7B2_0D63_4DE2_9CFC_2D2B3788802C_.wvu.PrintArea" hidden="1" oldHidden="1">
    <formula>рубероид!$A$1:$M$52</formula>
    <oldFormula>рубероид!$A$1:$M$52</oldFormula>
  </rdn>
  <rdn rId="0" localSheetId="12" customView="1" name="Z_900EF7B2_0D63_4DE2_9CFC_2D2B3788802C_.wvu.Cols" hidden="1" oldHidden="1">
    <formula>рубероид!$J:$M</formula>
    <oldFormula>рубероид!$J:$M</oldFormula>
  </rdn>
  <rdn rId="0" localSheetId="13" customView="1" name="Z_900EF7B2_0D63_4DE2_9CFC_2D2B3788802C_.wvu.PrintArea" hidden="1" oldHidden="1">
    <formula>'ПСБ''XPS'!$A$1:$R$21</formula>
    <oldFormula>'ПСБ''XPS'!$A$1:$R$21</oldFormula>
  </rdn>
  <rdn rId="0" localSheetId="13" customView="1" name="Z_900EF7B2_0D63_4DE2_9CFC_2D2B3788802C_.wvu.Rows" hidden="1" oldHidden="1">
    <formula>'ПСБ''XPS'!$1:$1</formula>
    <oldFormula>'ПСБ''XPS'!$1:$1</oldFormula>
  </rdn>
  <rdn rId="0" localSheetId="13" customView="1" name="Z_900EF7B2_0D63_4DE2_9CFC_2D2B3788802C_.wvu.Cols" hidden="1" oldHidden="1">
    <formula>'ПСБ''XPS'!$L:$Q</formula>
    <oldFormula>'ПСБ''XPS'!$L:$Q</oldFormula>
  </rdn>
  <rdn rId="0" localSheetId="14" customView="1" name="Z_900EF7B2_0D63_4DE2_9CFC_2D2B3788802C_.wvu.PrintArea" hidden="1" oldHidden="1">
    <formula>'смеси''грунтовки'!$A$1:$P$160</formula>
    <oldFormula>'смеси''грунтовки'!$A$1:$P$160</oldFormula>
  </rdn>
  <rdn rId="0" localSheetId="14" customView="1" name="Z_900EF7B2_0D63_4DE2_9CFC_2D2B3788802C_.wvu.Cols" hidden="1" oldHidden="1">
    <formula>'смеси''грунтовки'!$F:$P</formula>
    <oldFormula>'смеси''грунтовки'!$F:$P</oldFormula>
  </rdn>
  <rdn rId="0" localSheetId="15" customView="1" name="Z_900EF7B2_0D63_4DE2_9CFC_2D2B3788802C_.wvu.PrintArea" hidden="1" oldHidden="1">
    <formula>docke!$A$1:$M$37</formula>
    <oldFormula>docke!$A$1:$M$37</oldFormula>
  </rdn>
  <rdn rId="0" localSheetId="15" customView="1" name="Z_900EF7B2_0D63_4DE2_9CFC_2D2B3788802C_.wvu.Cols" hidden="1" oldHidden="1">
    <formula>docke!$I:$M</formula>
    <oldFormula>docke!$I:$M</oldFormula>
  </rdn>
  <rdn rId="0" localSheetId="16" customView="1" name="Z_900EF7B2_0D63_4DE2_9CFC_2D2B3788802C_.wvu.Cols" hidden="1" oldHidden="1">
    <formula>'мастики''битумы'!$H:$I</formula>
    <oldFormula>'мастики''битумы'!$H:$I</oldFormula>
  </rdn>
  <rdn rId="0" localSheetId="17" customView="1" name="Z_900EF7B2_0D63_4DE2_9CFC_2D2B3788802C_.wvu.Cols" hidden="1" oldHidden="1">
    <formula>'Техно Николь Рулонка,ПРАЙМЕР, '!$E:$E</formula>
    <oldFormula>'Техно Николь Рулонка,ПРАЙМЕР, '!$E:$E</oldFormula>
  </rdn>
  <rdn rId="0" localSheetId="19" customView="1" name="Z_900EF7B2_0D63_4DE2_9CFC_2D2B3788802C_.wvu.Cols" hidden="1" oldHidden="1">
    <formula>'КНАУФ ГКЛ, профиля ,смеси'!$C:$C</formula>
    <oldFormula>'КНАУФ ГКЛ, профиля ,смеси'!$C:$C</oldFormula>
  </rdn>
  <rdn rId="0" localSheetId="22" customView="1" name="Z_900EF7B2_0D63_4DE2_9CFC_2D2B3788802C_.wvu.Cols" hidden="1" oldHidden="1">
    <formula>'OSB,ФАНЕРА,ПОЛИКАРБОНАТ'!$C:$C</formula>
    <oldFormula>'OSB,ФАНЕРА,ПОЛИКАРБОНАТ'!$C:$C</oldFormula>
  </rdn>
  <rdn rId="0" localSheetId="33" customView="1" name="Z_900EF7B2_0D63_4DE2_9CFC_2D2B3788802C_.wvu.Rows" hidden="1" oldHidden="1">
    <formula>ВОКС!$4:$4</formula>
    <oldFormula>ВОКС!$4:$4</oldFormula>
  </rdn>
  <rdn rId="0" localSheetId="35" customView="1" name="Z_900EF7B2_0D63_4DE2_9CFC_2D2B3788802C_.wvu.Rows" hidden="1" oldHidden="1">
    <formula>'МЧ и Доборка ДЕКЕ'!$4:$4</formula>
    <oldFormula>'МЧ и Доборка ДЕКЕ'!$4:$4</oldFormula>
  </rdn>
  <rdn rId="0" localSheetId="35" customView="1" name="Z_900EF7B2_0D63_4DE2_9CFC_2D2B3788802C_.wvu.Cols" hidden="1" oldHidden="1">
    <formula>'МЧ и Доборка ДЕКЕ'!$G:$H</formula>
    <oldFormula>'МЧ и Доборка ДЕКЕ'!$G:$H</oldFormula>
  </rdn>
  <rdn rId="0" localSheetId="45" customView="1" name="Z_900EF7B2_0D63_4DE2_9CFC_2D2B3788802C_.wvu.Rows" hidden="1" oldHidden="1">
    <formula>'ФИБРА + АРМАТУРА СТЕКЛО'!$29:$29</formula>
  </rdn>
  <rcv guid="{900EF7B2-0D63-4DE2-9CFC-2D2B3788802C}" action="add"/>
</revisions>
</file>

<file path=xl/revisions/revisionLog114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4111.xml><?xml version="1.0" encoding="utf-8"?>
<revisions xmlns="http://schemas.openxmlformats.org/spreadsheetml/2006/main" xmlns:r="http://schemas.openxmlformats.org/officeDocument/2006/relationships">
  <rcc rId="10342" sId="17">
    <oc r="D2" t="inlineStr">
      <is>
        <t>Цена руб/м2,                    с НДС</t>
      </is>
    </oc>
    <nc r="D2" t="inlineStr">
      <is>
        <t>Цена руб/м2, со склада                   с НДС</t>
      </is>
    </nc>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4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5.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51.xml><?xml version="1.0" encoding="utf-8"?>
<revisions xmlns="http://schemas.openxmlformats.org/spreadsheetml/2006/main" xmlns:r="http://schemas.openxmlformats.org/officeDocument/2006/relationships">
  <rcc rId="13725" sId="35" numFmtId="4">
    <oc r="D8" t="inlineStr">
      <is>
        <t>720,26р.</t>
      </is>
    </oc>
    <nc r="D8">
      <v>746.62</v>
    </nc>
  </rcc>
  <rcc rId="13726" sId="35" numFmtId="4">
    <oc r="D9" t="inlineStr">
      <is>
        <t>720,26р.</t>
      </is>
    </oc>
    <nc r="D9">
      <v>746.62</v>
    </nc>
  </rcc>
  <rcc rId="13727" sId="35" numFmtId="4">
    <oc r="D10" t="inlineStr">
      <is>
        <t>855,93р.</t>
      </is>
    </oc>
    <nc r="D10">
      <v>887.24</v>
    </nc>
  </rcc>
  <rcc rId="13728" sId="35" numFmtId="4">
    <oc r="D11" t="inlineStr">
      <is>
        <t>930,35р.</t>
      </is>
    </oc>
    <nc r="D11">
      <v>964.37</v>
    </nc>
  </rcc>
  <rcc rId="13729" sId="35" numFmtId="4">
    <oc r="E8" t="inlineStr">
      <is>
        <t>788,85р.</t>
      </is>
    </oc>
    <nc r="E8">
      <v>817.72</v>
    </nc>
  </rcc>
  <rcc rId="13730" sId="35" numFmtId="4">
    <oc r="E9" t="inlineStr">
      <is>
        <t>788,85р.</t>
      </is>
    </oc>
    <nc r="E9">
      <v>817.72</v>
    </nc>
  </rcc>
  <rcc rId="13731" sId="35" numFmtId="4">
    <oc r="E10" t="inlineStr">
      <is>
        <t>937,44р.</t>
      </is>
    </oc>
    <nc r="E10">
      <v>971.74</v>
    </nc>
  </rcc>
  <rcc rId="13732" sId="35" numFmtId="4">
    <oc r="E11" t="inlineStr">
      <is>
        <t>1 018,95р.</t>
      </is>
    </oc>
    <nc r="E11">
      <v>1056.22</v>
    </nc>
  </rcc>
  <rcc rId="13733" sId="35" numFmtId="4">
    <oc r="F8" t="inlineStr">
      <is>
        <t>857,45р.</t>
      </is>
    </oc>
    <nc r="F8">
      <v>888.83</v>
    </nc>
  </rcc>
  <rcc rId="13734" sId="35" numFmtId="4">
    <oc r="F9" t="inlineStr">
      <is>
        <t>857,45р.</t>
      </is>
    </oc>
    <nc r="F9">
      <v>888.83</v>
    </nc>
  </rcc>
  <rcc rId="13735" sId="35" numFmtId="4">
    <oc r="F10" t="inlineStr">
      <is>
        <t>1 018,96р.</t>
      </is>
    </oc>
    <nc r="F10">
      <v>1056.24</v>
    </nc>
  </rcc>
  <rcc rId="13736" sId="35" numFmtId="4">
    <oc r="F11" t="inlineStr">
      <is>
        <t>1 107,56р.</t>
      </is>
    </oc>
    <nc r="F11">
      <v>1148.06</v>
    </nc>
  </rcc>
  <rcc rId="13737" sId="35" numFmtId="4">
    <oc r="D14" t="inlineStr">
      <is>
        <t>908,34р.</t>
      </is>
    </oc>
    <nc r="D14">
      <v>953.59</v>
    </nc>
  </rcc>
  <rcc rId="13738" sId="35" numFmtId="4">
    <oc r="D15" t="inlineStr">
      <is>
        <t>935,60р.</t>
      </is>
    </oc>
    <nc r="D15">
      <v>982.37</v>
    </nc>
  </rcc>
  <rcc rId="13739" sId="35" numFmtId="4">
    <oc r="D16" t="inlineStr">
      <is>
        <t>1 079,39р.</t>
      </is>
    </oc>
    <nc r="D16">
      <v>1133.3499999999999</v>
    </nc>
  </rcc>
  <rcc rId="13740" sId="35" numFmtId="4">
    <oc r="D17" t="inlineStr">
      <is>
        <t>1 173,27р.</t>
      </is>
    </oc>
    <nc r="D17">
      <v>1231.94</v>
    </nc>
  </rcc>
  <rcc rId="13741" sId="35" numFmtId="4">
    <oc r="D18" t="inlineStr">
      <is>
        <t>2 296,69р.</t>
      </is>
    </oc>
    <nc r="D18">
      <v>2411.5100000000002</v>
    </nc>
  </rcc>
  <rcc rId="13742" sId="35" numFmtId="4">
    <oc r="E14" t="inlineStr">
      <is>
        <t>996,96р.</t>
      </is>
    </oc>
    <nc r="E14">
      <v>1046.8</v>
    </nc>
  </rcc>
  <rcc rId="13743" sId="35" numFmtId="4">
    <oc r="E15" t="inlineStr">
      <is>
        <t>1 026,88р.</t>
      </is>
    </oc>
    <nc r="E15">
      <v>1078.21</v>
    </nc>
  </rcc>
  <rcc rId="13744" sId="35" numFmtId="4">
    <oc r="E16" t="inlineStr">
      <is>
        <t>1 184,69р.</t>
      </is>
    </oc>
    <nc r="E16">
      <v>1243.93</v>
    </nc>
  </rcc>
  <rcc rId="13745" sId="35" numFmtId="4">
    <oc r="E17" t="inlineStr">
      <is>
        <t>1 287,74р.</t>
      </is>
    </oc>
    <nc r="E17">
      <v>1352.13</v>
    </nc>
  </rcc>
  <rcc rId="13746" sId="35" numFmtId="4">
    <oc r="E18" t="inlineStr">
      <is>
        <t>2 520,75р.</t>
      </is>
    </oc>
    <nc r="E18">
      <v>2646.78</v>
    </nc>
  </rcc>
  <rcc rId="13747" sId="35" numFmtId="4">
    <oc r="F14" t="inlineStr">
      <is>
        <t>1 107,73р.</t>
      </is>
    </oc>
    <nc r="F14">
      <v>1163.1099999999999</v>
    </nc>
  </rcc>
  <rcc rId="13748" sId="35" numFmtId="4">
    <oc r="F15" t="inlineStr">
      <is>
        <t>1 140,97р.</t>
      </is>
    </oc>
    <nc r="F15">
      <v>1198.01</v>
    </nc>
  </rcc>
  <rcc rId="13749" sId="35" numFmtId="4">
    <oc r="F16" t="inlineStr">
      <is>
        <t>1 316,33р.</t>
      </is>
    </oc>
    <nc r="F16">
      <v>1382.14</v>
    </nc>
  </rcc>
  <rcc rId="13750" sId="35" numFmtId="4">
    <oc r="F17" t="inlineStr">
      <is>
        <t>1 430,82р.</t>
      </is>
    </oc>
    <nc r="F17">
      <v>1502.37</v>
    </nc>
  </rcc>
  <rcc rId="13751" sId="35" numFmtId="4">
    <oc r="F18" t="inlineStr">
      <is>
        <t>2 800,84р.</t>
      </is>
    </oc>
    <nc r="F18">
      <v>2940.86</v>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511.xml><?xml version="1.0" encoding="utf-8"?>
<revisions xmlns="http://schemas.openxmlformats.org/spreadsheetml/2006/main" xmlns:r="http://schemas.openxmlformats.org/officeDocument/2006/relationships">
  <ris rId="10773" sheetId="37" name="[ПРАЙС ЦЕНТР-ТИМ 2019 обновленный.xlsx]Лист3" sheetPosition="36"/>
  <rcc rId="10774" sId="37" odxf="1" dxf="1">
    <nc r="A4" t="inlineStr">
      <is>
        <t>Döcke PIE. Кровельная вентиляция.</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7" sqref="B4" start="0" length="0">
    <dxf>
      <font>
        <b/>
        <sz val="11"/>
        <color theme="1"/>
        <name val="Arial Narrow"/>
        <scheme val="none"/>
      </font>
      <fill>
        <patternFill patternType="solid">
          <bgColor theme="0"/>
        </patternFill>
      </fill>
      <alignment vertical="center" readingOrder="0"/>
    </dxf>
  </rfmt>
  <rfmt sheetId="37" sqref="C4" start="0" length="0">
    <dxf>
      <font>
        <sz val="11"/>
        <color auto="1"/>
        <name val="Arial Narrow"/>
        <scheme val="none"/>
      </font>
      <fill>
        <patternFill patternType="solid">
          <bgColor theme="0"/>
        </patternFill>
      </fill>
      <alignment vertical="center" readingOrder="0"/>
    </dxf>
  </rfmt>
  <rfmt sheetId="37" sqref="D4" start="0" length="0">
    <dxf>
      <font>
        <b/>
        <sz val="11"/>
        <color auto="1"/>
        <name val="Arial Narrow"/>
        <scheme val="none"/>
      </font>
      <fill>
        <patternFill patternType="solid">
          <bgColor theme="0"/>
        </patternFill>
      </fill>
      <alignment horizontal="right" vertical="center" readingOrder="0"/>
    </dxf>
  </rfmt>
  <rfmt sheetId="37" sqref="E4" start="0" length="0">
    <dxf>
      <font>
        <b/>
        <sz val="11"/>
        <color auto="1"/>
        <name val="Arial Narrow"/>
        <scheme val="none"/>
      </font>
      <fill>
        <patternFill patternType="solid">
          <bgColor theme="0"/>
        </patternFill>
      </fill>
      <alignment horizontal="right" vertical="center" readingOrder="0"/>
    </dxf>
  </rfmt>
  <rfmt sheetId="37" sqref="F4" start="0" length="0">
    <dxf>
      <font>
        <b/>
        <sz val="11"/>
        <color auto="1"/>
        <name val="Arial Narrow"/>
        <scheme val="none"/>
      </font>
      <fill>
        <patternFill patternType="solid">
          <bgColor theme="0"/>
        </patternFill>
      </fill>
      <alignment horizontal="right" vertical="center" readingOrder="0"/>
    </dxf>
  </rfmt>
  <rfmt sheetId="37" sqref="A5" start="0" length="0">
    <dxf>
      <font>
        <sz val="11"/>
        <color theme="1"/>
        <name val="Arial Narrow"/>
        <scheme val="none"/>
      </font>
      <fill>
        <patternFill patternType="solid">
          <bgColor theme="0"/>
        </patternFill>
      </fill>
      <alignment vertical="center" readingOrder="0"/>
    </dxf>
  </rfmt>
  <rfmt sheetId="37" sqref="B5" start="0" length="0">
    <dxf>
      <font>
        <sz val="11"/>
        <color theme="1"/>
        <name val="Arial Narrow"/>
        <scheme val="none"/>
      </font>
      <fill>
        <patternFill patternType="solid">
          <bgColor theme="0"/>
        </patternFill>
      </fill>
      <alignment vertical="center" readingOrder="0"/>
    </dxf>
  </rfmt>
  <rfmt sheetId="37" sqref="C5" start="0" length="0">
    <dxf>
      <font>
        <sz val="11"/>
        <color auto="1"/>
        <name val="Arial Narrow"/>
        <scheme val="none"/>
      </font>
      <fill>
        <patternFill patternType="solid">
          <bgColor theme="0"/>
        </patternFill>
      </fill>
      <alignment vertical="center" readingOrder="0"/>
    </dxf>
  </rfmt>
  <rfmt sheetId="37" sqref="D5" start="0" length="0">
    <dxf>
      <font>
        <sz val="11"/>
        <color auto="1"/>
        <name val="Arial Narrow"/>
        <scheme val="none"/>
      </font>
      <fill>
        <patternFill patternType="solid">
          <bgColor theme="0"/>
        </patternFill>
      </fill>
      <alignment vertical="center" readingOrder="0"/>
    </dxf>
  </rfmt>
  <rfmt sheetId="37" sqref="E5" start="0" length="0">
    <dxf>
      <font>
        <sz val="11"/>
        <color auto="1"/>
        <name val="Arial Narrow"/>
        <scheme val="none"/>
      </font>
      <fill>
        <patternFill patternType="solid">
          <bgColor theme="0"/>
        </patternFill>
      </fill>
      <alignment vertical="center" readingOrder="0"/>
    </dxf>
  </rfmt>
  <rfmt sheetId="37" sqref="F5" start="0" length="0">
    <dxf>
      <font>
        <sz val="11"/>
        <color auto="1"/>
        <name val="Arial Narrow"/>
        <scheme val="none"/>
      </font>
      <fill>
        <patternFill patternType="solid">
          <bgColor theme="0"/>
        </patternFill>
      </fill>
      <alignment vertical="center" readingOrder="0"/>
    </dxf>
  </rfmt>
  <rfmt sheetId="37" sqref="A6" start="0" length="0">
    <dxf>
      <font>
        <sz val="11"/>
        <color theme="1"/>
        <name val="Arial Narrow"/>
        <scheme val="none"/>
      </font>
      <fill>
        <patternFill patternType="solid">
          <bgColor rgb="FF92D050"/>
        </patternFill>
      </fill>
      <alignment vertical="center" readingOrder="0"/>
    </dxf>
  </rfmt>
  <rfmt sheetId="37" sqref="B6" start="0" length="0">
    <dxf>
      <font>
        <sz val="11"/>
        <color theme="1"/>
        <name val="Arial Narrow"/>
        <scheme val="none"/>
      </font>
      <fill>
        <patternFill patternType="solid">
          <bgColor rgb="FF92D050"/>
        </patternFill>
      </fill>
      <alignment vertical="center" readingOrder="0"/>
    </dxf>
  </rfmt>
  <rfmt sheetId="37" sqref="C6" start="0" length="0">
    <dxf>
      <font>
        <sz val="11"/>
        <color auto="1"/>
        <name val="Arial Narrow"/>
        <scheme val="none"/>
      </font>
      <fill>
        <patternFill patternType="solid">
          <bgColor theme="0"/>
        </patternFill>
      </fill>
      <alignment vertical="center" readingOrder="0"/>
    </dxf>
  </rfmt>
  <rfmt sheetId="37" sqref="D6" start="0" length="0">
    <dxf>
      <font>
        <b/>
        <sz val="11"/>
        <color auto="1"/>
        <name val="Arial Narrow"/>
        <scheme val="none"/>
      </font>
      <fill>
        <patternFill patternType="solid">
          <bgColor theme="5" tint="0.39997558519241921"/>
        </patternFill>
      </fill>
      <alignment horizontal="center" vertical="center" readingOrder="0"/>
    </dxf>
  </rfmt>
  <rfmt sheetId="37" sqref="E6" start="0" length="0">
    <dxf>
      <font>
        <b/>
        <sz val="11"/>
        <color auto="1"/>
        <name val="Arial Narrow"/>
        <scheme val="none"/>
      </font>
      <fill>
        <patternFill patternType="solid">
          <bgColor rgb="FFFFFF00"/>
        </patternFill>
      </fill>
      <alignment horizontal="center" vertical="center" readingOrder="0"/>
    </dxf>
  </rfmt>
  <rfmt sheetId="37" sqref="F6" start="0" length="0">
    <dxf>
      <font>
        <b/>
        <sz val="11"/>
        <color auto="1"/>
        <name val="Arial Narrow"/>
        <scheme val="none"/>
      </font>
      <fill>
        <patternFill patternType="solid">
          <bgColor rgb="FFCCFFCC"/>
        </patternFill>
      </fill>
      <alignment horizontal="center" vertical="center" readingOrder="0"/>
    </dxf>
  </rfmt>
  <rcc rId="10775" sId="37"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776" sId="37"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1"/>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7" sqref="C7" start="0" length="0">
    <dxf>
      <font>
        <b/>
        <u/>
        <sz val="11"/>
        <color auto="1"/>
        <name val="Arial Narrow"/>
        <scheme val="none"/>
      </font>
      <fill>
        <patternFill patternType="solid">
          <bgColor theme="0"/>
        </patternFill>
      </fill>
      <alignment horizontal="center" vertical="center" wrapText="1" readingOrder="0"/>
    </dxf>
  </rfmt>
  <rcc rId="10777" sId="37"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778" sId="37"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779" sId="37"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7" sqref="A8" start="0" length="0">
    <dxf>
      <font>
        <sz val="11"/>
        <color auto="1"/>
        <name val="Arial Narrow"/>
        <scheme val="none"/>
      </font>
      <fill>
        <patternFill patternType="solid">
          <bgColor theme="0"/>
        </patternFill>
      </fill>
      <alignment vertical="center" readingOrder="0"/>
    </dxf>
  </rfmt>
  <rfmt sheetId="37" sqref="B8" start="0" length="0">
    <dxf>
      <font>
        <sz val="11"/>
        <color auto="1"/>
        <name val="Arial Narrow"/>
        <scheme val="none"/>
      </font>
      <fill>
        <patternFill patternType="solid">
          <bgColor theme="0"/>
        </patternFill>
      </fill>
      <alignment vertical="center" readingOrder="0"/>
    </dxf>
  </rfmt>
  <rfmt sheetId="37" sqref="C8" start="0" length="0">
    <dxf>
      <font>
        <sz val="11"/>
        <color auto="1"/>
        <name val="Arial Narrow"/>
        <scheme val="none"/>
      </font>
      <fill>
        <patternFill patternType="solid">
          <bgColor theme="0"/>
        </patternFill>
      </fill>
      <alignment vertical="center" readingOrder="0"/>
    </dxf>
  </rfmt>
  <rfmt sheetId="37" sqref="D8" start="0" length="0">
    <dxf>
      <font>
        <sz val="11"/>
        <color auto="1"/>
        <name val="Arial Narrow"/>
        <scheme val="none"/>
      </font>
      <fill>
        <patternFill patternType="solid">
          <bgColor theme="0"/>
        </patternFill>
      </fill>
      <alignment vertical="center" readingOrder="0"/>
    </dxf>
  </rfmt>
  <rfmt sheetId="37" sqref="E8" start="0" length="0">
    <dxf>
      <font>
        <sz val="11"/>
        <color auto="1"/>
        <name val="Arial Narrow"/>
        <scheme val="none"/>
      </font>
      <fill>
        <patternFill patternType="solid">
          <bgColor theme="0"/>
        </patternFill>
      </fill>
      <alignment vertical="center" readingOrder="0"/>
    </dxf>
  </rfmt>
  <rfmt sheetId="37" sqref="F8" start="0" length="0">
    <dxf>
      <font>
        <sz val="11"/>
        <color auto="1"/>
        <name val="Arial Narrow"/>
        <scheme val="none"/>
      </font>
      <fill>
        <patternFill patternType="solid">
          <bgColor theme="0"/>
        </patternFill>
      </fill>
      <alignment vertical="center" readingOrder="0"/>
    </dxf>
  </rfmt>
  <rcc rId="10780" sId="37" odxf="1" dxf="1">
    <nc r="A9" t="inlineStr">
      <is>
        <t>Коньковый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781" sId="37"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7" sqref="C9" start="0" length="0">
    <dxf>
      <font>
        <b/>
        <sz val="11"/>
        <color auto="1"/>
        <name val="Arial Narrow"/>
        <scheme val="none"/>
      </font>
      <numFmt numFmtId="2" formatCode="0.00"/>
      <fill>
        <patternFill patternType="solid">
          <bgColor theme="0"/>
        </patternFill>
      </fill>
      <alignment horizontal="center" vertical="center" readingOrder="0"/>
    </dxf>
  </rfmt>
  <rfmt sheetId="37"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7"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7"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782" sId="37" odxf="1" dxf="1">
    <nc r="A10" t="inlineStr">
      <is>
        <t>Аэратор коньковый Döcke PIE, 1 п.м.</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83" sId="37" odxf="1" dxf="1">
    <nc r="B10">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0" start="0" length="0">
    <dxf>
      <font>
        <sz val="11"/>
        <color auto="1"/>
        <name val="Arial Narrow"/>
        <scheme val="none"/>
      </font>
      <fill>
        <patternFill patternType="solid">
          <bgColor theme="0"/>
        </patternFill>
      </fill>
      <alignment horizontal="center" vertical="center" readingOrder="0"/>
    </dxf>
  </rfmt>
  <rcc rId="10784" sId="37" odxf="1" dxf="1">
    <nc r="D10" t="inlineStr">
      <is>
        <t>389,08р.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85" sId="37" odxf="1" dxf="1">
    <nc r="E10" t="inlineStr">
      <is>
        <t>454,77р.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86" sId="37" odxf="1" dxf="1">
    <nc r="F10" t="inlineStr">
      <is>
        <t>505,30р.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787" sId="37" odxf="1" dxf="1">
    <nc r="A11" t="inlineStr">
      <is>
        <t>Фильтр для конькового аэратора Döcke, уп=12 шт</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88" sId="37" odxf="1" dxf="1">
    <nc r="B11">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1" start="0" length="0">
    <dxf>
      <font>
        <sz val="11"/>
        <color auto="1"/>
        <name val="Arial Narrow"/>
        <scheme val="none"/>
      </font>
      <fill>
        <patternFill patternType="solid">
          <bgColor theme="0"/>
        </patternFill>
      </fill>
      <alignment horizontal="center" vertical="center" readingOrder="0"/>
    </dxf>
  </rfmt>
  <rcc rId="10789" sId="37" odxf="1" dxf="1">
    <nc r="D11" t="inlineStr">
      <is>
        <t>63,25р.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90" sId="37" odxf="1" dxf="1">
    <nc r="E11" t="inlineStr">
      <is>
        <t>73,93р.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91" sId="37" odxf="1" dxf="1">
    <nc r="F11" t="inlineStr">
      <is>
        <t>82,15р.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7" sqref="A12" start="0" length="0">
    <dxf>
      <font>
        <sz val="11"/>
        <color auto="1"/>
        <name val="Arial Narrow"/>
        <scheme val="none"/>
      </font>
      <fill>
        <patternFill patternType="solid">
          <bgColor theme="0"/>
        </patternFill>
      </fill>
      <alignment vertical="center" readingOrder="0"/>
    </dxf>
  </rfmt>
  <rfmt sheetId="37" sqref="B12" start="0" length="0">
    <dxf>
      <font>
        <sz val="11"/>
        <color auto="1"/>
        <name val="Arial Narrow"/>
        <scheme val="none"/>
      </font>
      <fill>
        <patternFill patternType="solid">
          <bgColor theme="0"/>
        </patternFill>
      </fill>
      <alignment vertical="center" readingOrder="0"/>
    </dxf>
  </rfmt>
  <rfmt sheetId="37" sqref="C12" start="0" length="0">
    <dxf>
      <font>
        <sz val="11"/>
        <color auto="1"/>
        <name val="Arial Narrow"/>
        <scheme val="none"/>
      </font>
      <fill>
        <patternFill patternType="solid">
          <bgColor theme="0"/>
        </patternFill>
      </fill>
      <alignment vertical="center" readingOrder="0"/>
    </dxf>
  </rfmt>
  <rfmt sheetId="37" sqref="D12" start="0" length="0">
    <dxf>
      <font>
        <sz val="11"/>
        <color auto="1"/>
        <name val="Arial Narrow"/>
        <scheme val="none"/>
      </font>
      <numFmt numFmtId="13" formatCode="0%"/>
      <fill>
        <patternFill patternType="solid">
          <bgColor theme="9" tint="0.79998168889431442"/>
        </patternFill>
      </fill>
      <alignment vertical="center" readingOrder="0"/>
    </dxf>
  </rfmt>
  <rfmt sheetId="37" sqref="E12" start="0" length="0">
    <dxf>
      <font>
        <sz val="11"/>
        <color auto="1"/>
        <name val="Arial Narrow"/>
        <scheme val="none"/>
      </font>
      <numFmt numFmtId="13" formatCode="0%"/>
      <fill>
        <patternFill patternType="solid">
          <bgColor theme="9" tint="0.79998168889431442"/>
        </patternFill>
      </fill>
      <alignment vertical="center" readingOrder="0"/>
    </dxf>
  </rfmt>
  <rfmt sheetId="37" sqref="F12" start="0" length="0">
    <dxf>
      <font>
        <sz val="11"/>
        <color auto="1"/>
        <name val="Arial Narrow"/>
        <scheme val="none"/>
      </font>
      <numFmt numFmtId="13" formatCode="0%"/>
      <fill>
        <patternFill patternType="solid">
          <bgColor theme="9" tint="0.79998168889431442"/>
        </patternFill>
      </fill>
      <alignment vertical="center" readingOrder="0"/>
    </dxf>
  </rfmt>
  <rfmt sheetId="37" sqref="A13" start="0" length="0">
    <dxf>
      <font>
        <sz val="11"/>
        <color auto="1"/>
        <name val="Arial Narrow"/>
        <scheme val="none"/>
      </font>
      <fill>
        <patternFill patternType="solid">
          <bgColor theme="0"/>
        </patternFill>
      </fill>
      <alignment vertical="center" readingOrder="0"/>
    </dxf>
  </rfmt>
  <rfmt sheetId="37" sqref="B13" start="0" length="0">
    <dxf>
      <font>
        <sz val="11"/>
        <color auto="1"/>
        <name val="Arial Narrow"/>
        <scheme val="none"/>
      </font>
      <fill>
        <patternFill patternType="solid">
          <bgColor theme="0"/>
        </patternFill>
      </fill>
      <alignment vertical="center" readingOrder="0"/>
    </dxf>
  </rfmt>
  <rfmt sheetId="37" sqref="C13" start="0" length="0">
    <dxf>
      <font>
        <sz val="11"/>
        <color auto="1"/>
        <name val="Arial Narrow"/>
        <scheme val="none"/>
      </font>
      <fill>
        <patternFill patternType="solid">
          <bgColor theme="0"/>
        </patternFill>
      </fill>
      <alignment vertical="center" readingOrder="0"/>
    </dxf>
  </rfmt>
  <rfmt sheetId="37" sqref="D13" start="0" length="0">
    <dxf>
      <font>
        <sz val="11"/>
        <color auto="1"/>
        <name val="Arial Narrow"/>
        <scheme val="none"/>
      </font>
      <numFmt numFmtId="13" formatCode="0%"/>
      <fill>
        <patternFill patternType="solid">
          <bgColor theme="0"/>
        </patternFill>
      </fill>
      <alignment vertical="center" readingOrder="0"/>
    </dxf>
  </rfmt>
  <rfmt sheetId="37" sqref="E13" start="0" length="0">
    <dxf>
      <font>
        <sz val="11"/>
        <color auto="1"/>
        <name val="Arial Narrow"/>
        <scheme val="none"/>
      </font>
      <numFmt numFmtId="13" formatCode="0%"/>
      <fill>
        <patternFill patternType="solid">
          <bgColor theme="0"/>
        </patternFill>
      </fill>
      <alignment vertical="center" readingOrder="0"/>
    </dxf>
  </rfmt>
  <rfmt sheetId="37" sqref="F13" start="0" length="0">
    <dxf>
      <font>
        <sz val="11"/>
        <color auto="1"/>
        <name val="Arial Narrow"/>
        <scheme val="none"/>
      </font>
      <numFmt numFmtId="13" formatCode="0%"/>
      <fill>
        <patternFill patternType="solid">
          <bgColor theme="0"/>
        </patternFill>
      </fill>
      <alignment vertical="center" readingOrder="0"/>
    </dxf>
  </rfmt>
  <rcc rId="10792" sId="37" odxf="1" dxf="1">
    <nc r="A14" t="inlineStr">
      <is>
        <t>Аэратор точечный Döcke PIE NEXT,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93" sId="37" odxf="1" dxf="1">
    <nc r="B14">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4" start="0" length="0">
    <dxf>
      <font>
        <sz val="11"/>
        <color auto="1"/>
        <name val="Arial Narrow"/>
        <scheme val="none"/>
      </font>
      <fill>
        <patternFill patternType="solid">
          <bgColor theme="0"/>
        </patternFill>
      </fill>
      <alignment horizontal="center" vertical="center" readingOrder="0"/>
    </dxf>
  </rfmt>
  <rcc rId="10794" sId="37" odxf="1" dxf="1">
    <nc r="D14"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95" sId="37" odxf="1" dxf="1">
    <nc r="E14"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96" sId="37" odxf="1" dxf="1">
    <nc r="F14"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797" sId="37" odxf="1" dxf="1">
    <nc r="A15" t="inlineStr">
      <is>
        <t>Аэратор точечный Döcke PIE ROOT,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98" sId="37" odxf="1" dxf="1">
    <nc r="B15">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5" start="0" length="0">
    <dxf>
      <font>
        <sz val="11"/>
        <color auto="1"/>
        <name val="Arial Narrow"/>
        <scheme val="none"/>
      </font>
      <fill>
        <patternFill patternType="solid">
          <bgColor theme="0"/>
        </patternFill>
      </fill>
      <alignment horizontal="center" vertical="center" readingOrder="0"/>
    </dxf>
  </rfmt>
  <rcc rId="10799" sId="37" odxf="1" dxf="1">
    <nc r="D15" t="inlineStr">
      <is>
        <t>799,30р.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0" sId="37" odxf="1" dxf="1">
    <nc r="E15" t="inlineStr">
      <is>
        <t>905,87р.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1" sId="37" odxf="1" dxf="1">
    <nc r="F15" t="inlineStr">
      <is>
        <t>1 065,73р.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802" sId="37" odxf="1" dxf="1">
    <nc r="A16" t="inlineStr">
      <is>
        <t>Аэратор точечный Döcke PIE MONTERREY,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803" sId="37" odxf="1" dxf="1">
    <nc r="B16">
      <v>8</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6" start="0" length="0">
    <dxf>
      <font>
        <sz val="11"/>
        <color auto="1"/>
        <name val="Arial Narrow"/>
        <scheme val="none"/>
      </font>
      <fill>
        <patternFill patternType="solid">
          <bgColor theme="0"/>
        </patternFill>
      </fill>
      <alignment horizontal="center" vertical="center" readingOrder="0"/>
    </dxf>
  </rfmt>
  <rcc rId="10804" sId="37" odxf="1" dxf="1">
    <nc r="D16"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5" sId="37" odxf="1" dxf="1">
    <nc r="E16"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6" sId="37" odxf="1" dxf="1">
    <nc r="F16"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5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Лист1!$4:$4</formula>
    <oldFormula>Лист1!$4:$4</oldFormula>
  </rdn>
  <rcv guid="{FBB3E572-A647-4B8C-96C7-F43FE4F7CAA8}" action="add"/>
</revisions>
</file>

<file path=xl/revisions/revisionLog11512.xml><?xml version="1.0" encoding="utf-8"?>
<revisions xmlns="http://schemas.openxmlformats.org/spreadsheetml/2006/main" xmlns:r="http://schemas.openxmlformats.org/officeDocument/2006/relationships">
  <rfmt sheetId="45" sqref="E4:E10" start="0" length="2147483647">
    <dxf>
      <font>
        <b/>
      </font>
    </dxf>
  </rfmt>
  <rfmt sheetId="45" sqref="E11:E20" start="0" length="2147483647">
    <dxf>
      <font>
        <b/>
      </font>
    </dxf>
  </rfmt>
  <rfmt sheetId="45" sqref="E21:E23" start="0" length="2147483647">
    <dxf>
      <font>
        <b/>
      </font>
    </dxf>
  </rfmt>
  <rfmt sheetId="45" sqref="E30:E34" start="0" length="2147483647">
    <dxf>
      <font>
        <b/>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cv guid="{FBB3E572-A647-4B8C-96C7-F43FE4F7CAA8}" action="add"/>
</revisions>
</file>

<file path=xl/revisions/revisionLog116.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61.xml><?xml version="1.0" encoding="utf-8"?>
<revisions xmlns="http://schemas.openxmlformats.org/spreadsheetml/2006/main" xmlns:r="http://schemas.openxmlformats.org/officeDocument/2006/relationships">
  <rcv guid="{900EF7B2-0D63-4DE2-9CFC-2D2B3788802C}" action="delete"/>
  <rdn rId="0" localSheetId="1" customView="1" name="Z_900EF7B2_0D63_4DE2_9CFC_2D2B3788802C_.wvu.PrintArea" hidden="1" oldHidden="1">
    <formula>'ЦЕНТР-ТИМ'!$A$1:$Q$208</formula>
    <oldFormula>'ЦЕНТР-ТИМ'!$A$1:$Q$208</oldFormula>
  </rdn>
  <rdn rId="0" localSheetId="2" customView="1" name="Z_900EF7B2_0D63_4DE2_9CFC_2D2B3788802C_.wvu.PrintArea" hidden="1" oldHidden="1">
    <formula>HotRock!$A$1:$P$31</formula>
    <oldFormula>HotRock!$A$1:$P$31</oldFormula>
  </rdn>
  <rdn rId="0" localSheetId="2" customView="1" name="Z_900EF7B2_0D63_4DE2_9CFC_2D2B3788802C_.wvu.Cols" hidden="1" oldHidden="1">
    <formula>HotRock!$L:$P</formula>
    <oldFormula>HotRock!$L:$P</oldFormula>
  </rdn>
  <rdn rId="0" localSheetId="3" customView="1" name="Z_900EF7B2_0D63_4DE2_9CFC_2D2B3788802C_.wvu.PrintArea" hidden="1" oldHidden="1">
    <formula>ISOROC!$A$1:$T$14</formula>
    <oldFormula>ISOROC!$A$1:$T$14</oldFormula>
  </rdn>
  <rdn rId="0" localSheetId="3" customView="1" name="Z_900EF7B2_0D63_4DE2_9CFC_2D2B3788802C_.wvu.Cols" hidden="1" oldHidden="1">
    <formula>ISOROC!$M:$T</formula>
    <oldFormula>ISOROC!$M:$T</oldFormula>
  </rdn>
  <rdn rId="0" localSheetId="4" customView="1" name="Z_900EF7B2_0D63_4DE2_9CFC_2D2B3788802C_.wvu.PrintArea" hidden="1" oldHidden="1">
    <formula>IZOVOL!$A$1:$L$20</formula>
    <oldFormula>IZOVOL!$A$1:$L$20</oldFormula>
  </rdn>
  <rdn rId="0" localSheetId="4" customView="1" name="Z_900EF7B2_0D63_4DE2_9CFC_2D2B3788802C_.wvu.Cols" hidden="1" oldHidden="1">
    <formula>IZOVOL!$H:$J</formula>
    <oldFormula>IZOVOL!$H:$J</oldFormula>
  </rdn>
  <rdn rId="0" localSheetId="5" customView="1" name="Z_900EF7B2_0D63_4DE2_9CFC_2D2B3788802C_.wvu.PrintArea" hidden="1" oldHidden="1">
    <formula>ROCKWOOL!$A$1:$H$36</formula>
    <oldFormula>ROCKWOOL!$A$1:$H$36</oldFormula>
  </rdn>
  <rdn rId="0" localSheetId="5" customView="1" name="Z_900EF7B2_0D63_4DE2_9CFC_2D2B3788802C_.wvu.Cols" hidden="1" oldHidden="1">
    <formula>ROCKWOOL!$G:$G</formula>
    <oldFormula>ROCKWOOL!$G:$G</oldFormula>
  </rdn>
  <rdn rId="0" localSheetId="6" customView="1" name="Z_900EF7B2_0D63_4DE2_9CFC_2D2B3788802C_.wvu.PrintArea" hidden="1" oldHidden="1">
    <formula>техноНИКОЛЬ!$A$1:$L$20</formula>
    <oldFormula>техноНИКОЛЬ!$A$1:$L$20</oldFormula>
  </rdn>
  <rdn rId="0" localSheetId="6" customView="1" name="Z_900EF7B2_0D63_4DE2_9CFC_2D2B3788802C_.wvu.Cols" hidden="1" oldHidden="1">
    <formula>техноНИКОЛЬ!$H:$L</formula>
    <oldFormula>техноНИКОЛЬ!$H:$L</oldFormula>
  </rdn>
  <rdn rId="0" localSheetId="21" customView="1" name="Z_900EF7B2_0D63_4DE2_9CFC_2D2B3788802C_.wvu.Cols" hidden="1" oldHidden="1">
    <formula>'Differo МИНПЛИТА'!$I:$J</formula>
    <oldFormula>'Differo МИНПЛИТА'!$I:$J</oldFormula>
  </rdn>
  <rdn rId="0" localSheetId="23" customView="1" name="Z_900EF7B2_0D63_4DE2_9CFC_2D2B3788802C_.wvu.Cols" hidden="1" oldHidden="1">
    <formula>PAROC!$C:$C</formula>
    <oldFormula>PAROC!$C:$C</oldFormula>
  </rdn>
  <rdn rId="0" localSheetId="11" customView="1" name="Z_900EF7B2_0D63_4DE2_9CFC_2D2B3788802C_.wvu.PrintArea" hidden="1" oldHidden="1">
    <formula>'ГКЛ Даногипс,ГИПРОК'!$A$1:$I$29</formula>
    <oldFormula>'ГКЛ Даногипс,ГИПРОК'!$A$1:$I$29</oldFormula>
  </rdn>
  <rdn rId="0" localSheetId="11" customView="1" name="Z_900EF7B2_0D63_4DE2_9CFC_2D2B3788802C_.wvu.Cols" hidden="1" oldHidden="1">
    <formula>'ГКЛ Даногипс,ГИПРОК'!$G:$H</formula>
    <oldFormula>'ГКЛ Даногипс,ГИПРОК'!$G:$H</oldFormula>
  </rdn>
  <rdn rId="0" localSheetId="7" customView="1" name="Z_900EF7B2_0D63_4DE2_9CFC_2D2B3788802C_.wvu.PrintArea" hidden="1" oldHidden="1">
    <formula>'профили ГКЛ'!$A$1:$N$39</formula>
    <oldFormula>'профили ГКЛ'!$A$1:$N$39</oldFormula>
  </rdn>
  <rdn rId="0" localSheetId="7" customView="1" name="Z_900EF7B2_0D63_4DE2_9CFC_2D2B3788802C_.wvu.Cols" hidden="1" oldHidden="1">
    <formula>'профили ГКЛ'!$O:$S</formula>
    <oldFormula>'профили ГКЛ'!$O:$S</oldFormula>
  </rdn>
  <rdn rId="0" localSheetId="8" customView="1" name="Z_900EF7B2_0D63_4DE2_9CFC_2D2B3788802C_.wvu.PrintArea" hidden="1" oldHidden="1">
    <formula>'профили НВФ'!$A$1:$K$66</formula>
    <oldFormula>'профили НВФ'!$A$1:$K$66</oldFormula>
  </rdn>
  <rdn rId="0" localSheetId="8" customView="1" name="Z_900EF7B2_0D63_4DE2_9CFC_2D2B3788802C_.wvu.Cols" hidden="1" oldHidden="1">
    <formula>'профили НВФ'!$I:$K</formula>
    <oldFormula>'профили НВФ'!$I:$K</oldFormula>
  </rdn>
  <rdn rId="0" localSheetId="9" customView="1" name="Z_900EF7B2_0D63_4DE2_9CFC_2D2B3788802C_.wvu.Cols" hidden="1" oldHidden="1">
    <formula>'ИЗМ''ИЗО''ИЗТ'!$D:$D</formula>
    <oldFormula>'ИЗМ''ИЗО''ИЗТ'!$D:$D</oldFormula>
  </rdn>
  <rdn rId="0" localSheetId="10" customView="1" name="Z_900EF7B2_0D63_4DE2_9CFC_2D2B3788802C_.wvu.PrintArea" hidden="1" oldHidden="1">
    <formula>'плёнки''всп.п-эн'!$A$1:$L$78</formula>
    <oldFormula>'плёнки''всп.п-эн'!$A$1:$L$78</oldFormula>
  </rdn>
  <rdn rId="0" localSheetId="10" customView="1" name="Z_900EF7B2_0D63_4DE2_9CFC_2D2B3788802C_.wvu.Rows" hidden="1" oldHidden="1">
    <formula>'плёнки''всп.п-эн'!$17:$24</formula>
    <oldFormula>'плёнки''всп.п-эн'!$17:$24</oldFormula>
  </rdn>
  <rdn rId="0" localSheetId="10" customView="1" name="Z_900EF7B2_0D63_4DE2_9CFC_2D2B3788802C_.wvu.Cols" hidden="1" oldHidden="1">
    <formula>'плёнки''всп.п-эн'!$I:$K</formula>
    <oldFormula>'плёнки''всп.п-эн'!$I:$K</oldFormula>
  </rdn>
  <rdn rId="0" localSheetId="12" customView="1" name="Z_900EF7B2_0D63_4DE2_9CFC_2D2B3788802C_.wvu.PrintArea" hidden="1" oldHidden="1">
    <formula>рубероид!$A$1:$M$52</formula>
    <oldFormula>рубероид!$A$1:$M$52</oldFormula>
  </rdn>
  <rdn rId="0" localSheetId="12" customView="1" name="Z_900EF7B2_0D63_4DE2_9CFC_2D2B3788802C_.wvu.Cols" hidden="1" oldHidden="1">
    <formula>рубероид!$J:$M</formula>
    <oldFormula>рубероид!$J:$M</oldFormula>
  </rdn>
  <rdn rId="0" localSheetId="13" customView="1" name="Z_900EF7B2_0D63_4DE2_9CFC_2D2B3788802C_.wvu.PrintArea" hidden="1" oldHidden="1">
    <formula>'ПСБ''XPS'!$A$1:$R$21</formula>
    <oldFormula>'ПСБ''XPS'!$A$1:$R$21</oldFormula>
  </rdn>
  <rdn rId="0" localSheetId="13" customView="1" name="Z_900EF7B2_0D63_4DE2_9CFC_2D2B3788802C_.wvu.Rows" hidden="1" oldHidden="1">
    <formula>'ПСБ''XPS'!$1:$1</formula>
    <oldFormula>'ПСБ''XPS'!$1:$1</oldFormula>
  </rdn>
  <rdn rId="0" localSheetId="13" customView="1" name="Z_900EF7B2_0D63_4DE2_9CFC_2D2B3788802C_.wvu.Cols" hidden="1" oldHidden="1">
    <formula>'ПСБ''XPS'!$L:$Q</formula>
    <oldFormula>'ПСБ''XPS'!$L:$Q</oldFormula>
  </rdn>
  <rdn rId="0" localSheetId="14" customView="1" name="Z_900EF7B2_0D63_4DE2_9CFC_2D2B3788802C_.wvu.PrintArea" hidden="1" oldHidden="1">
    <formula>'смеси''грунтовки'!$A$1:$P$160</formula>
    <oldFormula>'смеси''грунтовки'!$A$1:$P$160</oldFormula>
  </rdn>
  <rdn rId="0" localSheetId="14" customView="1" name="Z_900EF7B2_0D63_4DE2_9CFC_2D2B3788802C_.wvu.Cols" hidden="1" oldHidden="1">
    <formula>'смеси''грунтовки'!$F:$P</formula>
    <oldFormula>'смеси''грунтовки'!$F:$P</oldFormula>
  </rdn>
  <rdn rId="0" localSheetId="15" customView="1" name="Z_900EF7B2_0D63_4DE2_9CFC_2D2B3788802C_.wvu.PrintArea" hidden="1" oldHidden="1">
    <formula>docke!$A$1:$M$37</formula>
    <oldFormula>docke!$A$1:$M$37</oldFormula>
  </rdn>
  <rdn rId="0" localSheetId="15" customView="1" name="Z_900EF7B2_0D63_4DE2_9CFC_2D2B3788802C_.wvu.Cols" hidden="1" oldHidden="1">
    <formula>docke!$I:$M</formula>
    <oldFormula>docke!$I:$M</oldFormula>
  </rdn>
  <rdn rId="0" localSheetId="16" customView="1" name="Z_900EF7B2_0D63_4DE2_9CFC_2D2B3788802C_.wvu.Cols" hidden="1" oldHidden="1">
    <formula>'мастики''битумы'!$H:$I</formula>
    <oldFormula>'мастики''битумы'!$H:$I</oldFormula>
  </rdn>
  <rdn rId="0" localSheetId="17" customView="1" name="Z_900EF7B2_0D63_4DE2_9CFC_2D2B3788802C_.wvu.Cols" hidden="1" oldHidden="1">
    <formula>'Техно Николь Рулонка,ПРАЙМЕР, '!$E:$E</formula>
    <oldFormula>'Техно Николь Рулонка,ПРАЙМЕР, '!$E:$E</oldFormula>
  </rdn>
  <rdn rId="0" localSheetId="19" customView="1" name="Z_900EF7B2_0D63_4DE2_9CFC_2D2B3788802C_.wvu.Cols" hidden="1" oldHidden="1">
    <formula>'КНАУФ ГКЛ, профиля ,смеси'!$C:$C</formula>
    <oldFormula>'КНАУФ ГКЛ, профиля ,смеси'!$C:$C</oldFormula>
  </rdn>
  <rdn rId="0" localSheetId="22" customView="1" name="Z_900EF7B2_0D63_4DE2_9CFC_2D2B3788802C_.wvu.Cols" hidden="1" oldHidden="1">
    <formula>'OSB,ФАНЕРА,ПОЛИКАРБОНАТ'!$C:$C</formula>
    <oldFormula>'OSB,ФАНЕРА,ПОЛИКАРБОНАТ'!$C:$C</oldFormula>
  </rdn>
  <rdn rId="0" localSheetId="33" customView="1" name="Z_900EF7B2_0D63_4DE2_9CFC_2D2B3788802C_.wvu.Rows" hidden="1" oldHidden="1">
    <formula>ВОКС!$4:$4</formula>
    <oldFormula>ВОКС!$4:$4</oldFormula>
  </rdn>
  <rdn rId="0" localSheetId="35" customView="1" name="Z_900EF7B2_0D63_4DE2_9CFC_2D2B3788802C_.wvu.Rows" hidden="1" oldHidden="1">
    <formula>'МЧ и Доборка ДЕКЕ'!$4:$4</formula>
    <oldFormula>'МЧ и Доборка ДЕКЕ'!$4:$4</oldFormula>
  </rdn>
  <rdn rId="0" localSheetId="35" customView="1" name="Z_900EF7B2_0D63_4DE2_9CFC_2D2B3788802C_.wvu.Cols" hidden="1" oldHidden="1">
    <formula>'МЧ и Доборка ДЕКЕ'!$G:$H</formula>
    <oldFormula>'МЧ и Доборка ДЕКЕ'!$G:$H</oldFormula>
  </rdn>
  <rdn rId="0" localSheetId="45" customView="1" name="Z_900EF7B2_0D63_4DE2_9CFC_2D2B3788802C_.wvu.Rows" hidden="1" oldHidden="1">
    <formula>'ФИБРА + АРМАТУРА СТЕКЛО'!$29:$29</formula>
    <oldFormula>'ФИБРА + АРМАТУРА СТЕКЛО'!$29:$29</oldFormula>
  </rdn>
  <rdn rId="0" localSheetId="46" customView="1" name="Z_900EF7B2_0D63_4DE2_9CFC_2D2B3788802C_.wvu.Cols" hidden="1" oldHidden="1">
    <formula>'СМЕСИ ФОРММАТЕРИАЛЫ 999'!$E:$N</formula>
  </rdn>
  <rcv guid="{900EF7B2-0D63-4DE2-9CFC-2D2B3788802C}" action="add"/>
</revisions>
</file>

<file path=xl/revisions/revisionLog11611.xml><?xml version="1.0" encoding="utf-8"?>
<revisions xmlns="http://schemas.openxmlformats.org/spreadsheetml/2006/main" xmlns:r="http://schemas.openxmlformats.org/officeDocument/2006/relationships">
  <rrc rId="12592" sId="45" eol="1" ref="A37:XFD37" action="insertRow"/>
  <rcc rId="12593" sId="45">
    <nc r="A37" t="inlineStr">
      <is>
        <t>НАИМЕНОВАНИЕ</t>
      </is>
    </nc>
  </rcc>
  <rcc rId="12594" sId="45">
    <nc r="B37" t="inlineStr">
      <is>
        <t>ЦЕНА 1 КВ.М. (М2)</t>
      </is>
    </nc>
  </rcc>
  <rfmt sheetId="45" sqref="A37:A42" start="0" length="0">
    <dxf>
      <border>
        <left style="thin">
          <color indexed="64"/>
        </left>
      </border>
    </dxf>
  </rfmt>
  <rfmt sheetId="45" sqref="A37:B37" start="0" length="0">
    <dxf>
      <border>
        <top style="thin">
          <color indexed="64"/>
        </top>
      </border>
    </dxf>
  </rfmt>
  <rfmt sheetId="45" sqref="B37:B42" start="0" length="0">
    <dxf>
      <border>
        <right style="thin">
          <color indexed="64"/>
        </right>
      </border>
    </dxf>
  </rfmt>
  <rfmt sheetId="45" sqref="A42:B42" start="0" length="0">
    <dxf>
      <border>
        <bottom style="thin">
          <color indexed="64"/>
        </bottom>
      </border>
    </dxf>
  </rfmt>
  <rfmt sheetId="45" sqref="A37:B4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5" sqref="A37:B37" start="0" length="2147483647">
    <dxf>
      <font>
        <b/>
      </font>
    </dxf>
  </rfmt>
  <rfmt sheetId="45" sqref="A37:B37" start="0" length="2147483647">
    <dxf>
      <font>
        <b val="0"/>
      </font>
    </dxf>
  </rfmt>
  <rfmt sheetId="45" sqref="A37:B37" start="0" length="2147483647">
    <dxf>
      <font>
        <b/>
      </font>
    </dxf>
  </rfmt>
  <rcc rId="12595" sId="45">
    <nc r="A38" t="inlineStr">
      <is>
        <t>Арматура АКС-4</t>
      </is>
    </nc>
  </rcc>
  <rfmt sheetId="45" sqref="B37">
    <dxf>
      <alignment horizontal="center" readingOrder="0"/>
    </dxf>
  </rfmt>
  <rfmt sheetId="45" sqref="A37">
    <dxf>
      <alignment horizontal="center" readingOrder="0"/>
    </dxf>
  </rfmt>
  <rfmt sheetId="45" sqref="A43" start="0" length="0">
    <dxf>
      <border>
        <left style="thin">
          <color indexed="64"/>
        </left>
      </border>
    </dxf>
  </rfmt>
  <rfmt sheetId="45" sqref="B43" start="0" length="0">
    <dxf>
      <border>
        <right style="thin">
          <color indexed="64"/>
        </right>
      </border>
    </dxf>
  </rfmt>
  <rfmt sheetId="45" sqref="A43:B43" start="0" length="0">
    <dxf>
      <border>
        <bottom style="thin">
          <color indexed="64"/>
        </bottom>
      </border>
    </dxf>
  </rfmt>
  <rfmt sheetId="45" sqref="A43:B43">
    <dxf>
      <border>
        <left style="thin">
          <color indexed="64"/>
        </left>
        <right style="thin">
          <color indexed="64"/>
        </right>
        <top style="thin">
          <color indexed="64"/>
        </top>
        <bottom style="thin">
          <color indexed="64"/>
        </bottom>
        <vertical style="thin">
          <color indexed="64"/>
        </vertical>
        <horizontal style="thin">
          <color indexed="64"/>
        </horizontal>
      </border>
    </dxf>
  </rfmt>
  <rcc rId="12596" sId="45">
    <nc r="A39" t="inlineStr">
      <is>
        <t>Арматура АКС-5</t>
      </is>
    </nc>
  </rcc>
  <rcc rId="12597" sId="45">
    <nc r="A40" t="inlineStr">
      <is>
        <t>Арматура АКС-6</t>
      </is>
    </nc>
  </rcc>
  <rcc rId="12598" sId="45">
    <nc r="A41" t="inlineStr">
      <is>
        <t>Арматура АКС-8</t>
      </is>
    </nc>
  </rcc>
  <rcc rId="12599" sId="45">
    <nc r="A42" t="inlineStr">
      <is>
        <t>Арматура АКС-10</t>
      </is>
    </nc>
  </rcc>
  <rcc rId="12600" sId="45">
    <nc r="A43" t="inlineStr">
      <is>
        <t>Арматура АКС-12</t>
      </is>
    </nc>
  </rcc>
  <rcc rId="12601" sId="45">
    <nc r="B38" t="inlineStr">
      <is>
        <t>7,10 руб</t>
      </is>
    </nc>
  </rcc>
  <rcc rId="12602" sId="45">
    <nc r="B39" t="inlineStr">
      <is>
        <t>8,50 руб</t>
      </is>
    </nc>
  </rcc>
  <rcc rId="12603" sId="45">
    <nc r="B40" t="inlineStr">
      <is>
        <t>12,10 руб</t>
      </is>
    </nc>
  </rcc>
  <rcc rId="12604" sId="45">
    <nc r="B41" t="inlineStr">
      <is>
        <t>16,90 руб</t>
      </is>
    </nc>
  </rcc>
  <rcc rId="12605" sId="45">
    <nc r="B42" t="inlineStr">
      <is>
        <t>26,00 руб</t>
      </is>
    </nc>
  </rcc>
  <rcc rId="12606" sId="45">
    <nc r="B43" t="inlineStr">
      <is>
        <t>36,40 руб</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cv guid="{FBB3E572-A647-4B8C-96C7-F43FE4F7CAA8}" action="add"/>
</revisions>
</file>

<file path=xl/revisions/revisionLog116111.xml><?xml version="1.0" encoding="utf-8"?>
<revisions xmlns="http://schemas.openxmlformats.org/spreadsheetml/2006/main" xmlns:r="http://schemas.openxmlformats.org/officeDocument/2006/relationships">
  <ris rId="11438" sheetId="41" name="[ПРАЙС ЦЕНТР-ТИМ 2019 обновленный.xlsx]Водосток PREMIUM (обновленный)" sheetPosition="40"/>
  <rcc rId="11439" sId="41" odxf="1" dxf="1">
    <nc r="A4" t="inlineStr">
      <is>
        <t>Водосточная система ПВХ DÖCKE PREMIUM.</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1" sqref="B4" start="0" length="0">
    <dxf>
      <font>
        <b/>
        <sz val="11"/>
        <color theme="1"/>
        <name val="Arial Narrow"/>
        <scheme val="none"/>
      </font>
      <fill>
        <patternFill patternType="solid">
          <bgColor theme="0"/>
        </patternFill>
      </fill>
      <alignment vertical="center" readingOrder="0"/>
    </dxf>
  </rfmt>
  <rfmt sheetId="41" sqref="C4" start="0" length="0">
    <dxf>
      <font>
        <sz val="11"/>
        <color auto="1"/>
        <name val="Arial Narrow"/>
        <scheme val="none"/>
      </font>
      <fill>
        <patternFill patternType="solid">
          <bgColor theme="0"/>
        </patternFill>
      </fill>
      <alignment vertical="center" readingOrder="0"/>
    </dxf>
  </rfmt>
  <rfmt sheetId="41" sqref="D4" start="0" length="0">
    <dxf>
      <font>
        <b/>
        <sz val="11"/>
        <color auto="1"/>
        <name val="Arial Narrow"/>
        <scheme val="none"/>
      </font>
      <fill>
        <patternFill patternType="solid">
          <bgColor theme="0"/>
        </patternFill>
      </fill>
      <alignment horizontal="right" vertical="center" readingOrder="0"/>
    </dxf>
  </rfmt>
  <rfmt sheetId="41" sqref="E4" start="0" length="0">
    <dxf>
      <font>
        <b/>
        <sz val="11"/>
        <color auto="1"/>
        <name val="Arial Narrow"/>
        <scheme val="none"/>
      </font>
      <fill>
        <patternFill patternType="solid">
          <bgColor theme="0"/>
        </patternFill>
      </fill>
      <alignment horizontal="right" vertical="center" readingOrder="0"/>
    </dxf>
  </rfmt>
  <rfmt sheetId="41" sqref="F4" start="0" length="0">
    <dxf>
      <font>
        <b/>
        <sz val="11"/>
        <color auto="1"/>
        <name val="Arial Narrow"/>
        <scheme val="none"/>
      </font>
      <fill>
        <patternFill patternType="solid">
          <bgColor theme="0"/>
        </patternFill>
      </fill>
      <alignment horizontal="right" vertical="center" readingOrder="0"/>
    </dxf>
  </rfmt>
  <rfmt sheetId="41" sqref="A5" start="0" length="0">
    <dxf>
      <font>
        <sz val="11"/>
        <color theme="1"/>
        <name val="Arial Narrow"/>
        <scheme val="none"/>
      </font>
      <fill>
        <patternFill patternType="solid">
          <bgColor theme="0"/>
        </patternFill>
      </fill>
      <alignment vertical="center" readingOrder="0"/>
    </dxf>
  </rfmt>
  <rfmt sheetId="41" sqref="B5" start="0" length="0">
    <dxf>
      <font>
        <sz val="11"/>
        <color theme="1"/>
        <name val="Arial Narrow"/>
        <scheme val="none"/>
      </font>
      <fill>
        <patternFill patternType="solid">
          <bgColor theme="0"/>
        </patternFill>
      </fill>
      <alignment vertical="center" readingOrder="0"/>
    </dxf>
  </rfmt>
  <rfmt sheetId="41" sqref="C5" start="0" length="0">
    <dxf>
      <font>
        <sz val="11"/>
        <color auto="1"/>
        <name val="Arial Narrow"/>
        <scheme val="none"/>
      </font>
      <fill>
        <patternFill patternType="solid">
          <bgColor theme="0"/>
        </patternFill>
      </fill>
      <alignment vertical="center" readingOrder="0"/>
    </dxf>
  </rfmt>
  <rfmt sheetId="41" sqref="D5" start="0" length="0">
    <dxf>
      <font>
        <sz val="11"/>
        <color auto="1"/>
        <name val="Arial Narrow"/>
        <scheme val="none"/>
      </font>
      <fill>
        <patternFill patternType="solid">
          <bgColor theme="0"/>
        </patternFill>
      </fill>
      <alignment vertical="center" readingOrder="0"/>
    </dxf>
  </rfmt>
  <rfmt sheetId="41" sqref="E5" start="0" length="0">
    <dxf>
      <font>
        <sz val="11"/>
        <color auto="1"/>
        <name val="Arial Narrow"/>
        <scheme val="none"/>
      </font>
      <fill>
        <patternFill patternType="solid">
          <bgColor theme="0"/>
        </patternFill>
      </fill>
      <alignment vertical="center" readingOrder="0"/>
    </dxf>
  </rfmt>
  <rfmt sheetId="41" sqref="F5" start="0" length="0">
    <dxf>
      <font>
        <sz val="11"/>
        <color auto="1"/>
        <name val="Arial Narrow"/>
        <scheme val="none"/>
      </font>
      <fill>
        <patternFill patternType="solid">
          <bgColor theme="0"/>
        </patternFill>
      </fill>
      <alignment vertical="center" readingOrder="0"/>
    </dxf>
  </rfmt>
  <rfmt sheetId="41" sqref="A6" start="0" length="0">
    <dxf>
      <font>
        <sz val="11"/>
        <color theme="1"/>
        <name val="Arial Narrow"/>
        <scheme val="none"/>
      </font>
      <fill>
        <patternFill patternType="solid">
          <bgColor rgb="FF92D050"/>
        </patternFill>
      </fill>
      <alignment vertical="center" readingOrder="0"/>
    </dxf>
  </rfmt>
  <rfmt sheetId="41" sqref="B6" start="0" length="0">
    <dxf>
      <font>
        <sz val="11"/>
        <color theme="1"/>
        <name val="Arial Narrow"/>
        <scheme val="none"/>
      </font>
      <fill>
        <patternFill patternType="solid">
          <bgColor rgb="FF92D050"/>
        </patternFill>
      </fill>
      <alignment vertical="center" readingOrder="0"/>
    </dxf>
  </rfmt>
  <rfmt sheetId="41" sqref="C6" start="0" length="0">
    <dxf>
      <font>
        <sz val="11"/>
        <color auto="1"/>
        <name val="Arial Narrow"/>
        <scheme val="none"/>
      </font>
      <fill>
        <patternFill patternType="solid">
          <bgColor theme="0"/>
        </patternFill>
      </fill>
      <alignment vertical="center" readingOrder="0"/>
    </dxf>
  </rfmt>
  <rfmt sheetId="41" sqref="D6" start="0" length="0">
    <dxf>
      <font>
        <b/>
        <sz val="11"/>
        <color auto="1"/>
        <name val="Arial Narrow"/>
        <scheme val="none"/>
      </font>
      <fill>
        <patternFill patternType="solid">
          <bgColor theme="5" tint="0.39997558519241921"/>
        </patternFill>
      </fill>
      <alignment horizontal="center" vertical="center" readingOrder="0"/>
    </dxf>
  </rfmt>
  <rfmt sheetId="41" sqref="E6" start="0" length="0">
    <dxf>
      <font>
        <b/>
        <sz val="11"/>
        <color auto="1"/>
        <name val="Arial Narrow"/>
        <scheme val="none"/>
      </font>
      <fill>
        <patternFill patternType="solid">
          <bgColor rgb="FFFFFF00"/>
        </patternFill>
      </fill>
      <alignment horizontal="center" vertical="center" readingOrder="0"/>
    </dxf>
  </rfmt>
  <rfmt sheetId="41" sqref="F6" start="0" length="0">
    <dxf>
      <font>
        <b/>
        <sz val="11"/>
        <color auto="1"/>
        <name val="Arial Narrow"/>
        <scheme val="none"/>
      </font>
      <fill>
        <patternFill patternType="solid">
          <bgColor rgb="FFCCFFCC"/>
        </patternFill>
      </fill>
      <alignment horizontal="center" vertical="center" readingOrder="0"/>
    </dxf>
  </rfmt>
  <rcc rId="11440" sId="41"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441" sId="41"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1" sqref="C7" start="0" length="0">
    <dxf>
      <font>
        <b/>
        <u/>
        <sz val="12"/>
        <color auto="1"/>
        <name val="Arial Narrow"/>
        <scheme val="none"/>
      </font>
      <fill>
        <patternFill patternType="solid">
          <bgColor theme="0"/>
        </patternFill>
      </fill>
      <alignment horizontal="center" vertical="center" wrapText="1" readingOrder="0"/>
    </dxf>
  </rfmt>
  <rfmt sheetId="41"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442" sId="41"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443" sId="41"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1" sqref="A8" start="0" length="0">
    <dxf>
      <font>
        <sz val="11"/>
        <color auto="1"/>
        <name val="Arial Narrow"/>
        <scheme val="none"/>
      </font>
      <alignment vertical="center" readingOrder="0"/>
    </dxf>
  </rfmt>
  <rfmt sheetId="41" sqref="B8" start="0" length="0">
    <dxf>
      <font>
        <sz val="11"/>
        <color auto="1"/>
        <name val="Arial Narrow"/>
        <scheme val="none"/>
      </font>
      <alignment vertical="center" readingOrder="0"/>
    </dxf>
  </rfmt>
  <rfmt sheetId="41" sqref="C8" start="0" length="0">
    <dxf>
      <font>
        <sz val="11"/>
        <color auto="1"/>
        <name val="Arial Narrow"/>
        <scheme val="none"/>
      </font>
      <numFmt numFmtId="2" formatCode="0.00"/>
      <fill>
        <patternFill patternType="solid">
          <bgColor theme="0"/>
        </patternFill>
      </fill>
      <alignment horizontal="center" vertical="center" readingOrder="0"/>
    </dxf>
  </rfmt>
  <rfmt sheetId="41" sqref="D8" start="0" length="0">
    <dxf>
      <font>
        <sz val="11"/>
        <color auto="1"/>
        <name val="Arial Narrow"/>
        <scheme val="none"/>
      </font>
      <numFmt numFmtId="167" formatCode="#,##0.00&quot;р.&quot;"/>
      <fill>
        <patternFill patternType="solid">
          <bgColor theme="0"/>
        </patternFill>
      </fill>
      <alignment vertical="center" readingOrder="0"/>
    </dxf>
  </rfmt>
  <rfmt sheetId="41" sqref="E8" start="0" length="0">
    <dxf>
      <font>
        <sz val="11"/>
        <color auto="1"/>
        <name val="Arial Narrow"/>
        <scheme val="none"/>
      </font>
      <numFmt numFmtId="167" formatCode="#,##0.00&quot;р.&quot;"/>
      <fill>
        <patternFill patternType="solid">
          <bgColor theme="0"/>
        </patternFill>
      </fill>
      <alignment vertical="center" readingOrder="0"/>
    </dxf>
  </rfmt>
  <rfmt sheetId="41" sqref="F8" start="0" length="0">
    <dxf>
      <font>
        <sz val="11"/>
        <color auto="1"/>
        <name val="Arial Narrow"/>
        <scheme val="none"/>
      </font>
      <numFmt numFmtId="167" formatCode="#,##0.00&quot;р.&quot;"/>
      <fill>
        <patternFill patternType="solid">
          <bgColor theme="0"/>
        </patternFill>
      </fill>
      <alignment vertical="center" readingOrder="0"/>
    </dxf>
  </rfmt>
  <rcc rId="11444" sId="41" odxf="1" dxf="1">
    <nc r="A9" t="inlineStr">
      <is>
        <t>Водосточная система Döcke PREMIUM</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445" sId="41"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1" sqref="C9" start="0" length="0">
    <dxf>
      <font>
        <b/>
        <sz val="11"/>
        <color auto="1"/>
        <name val="Arial Narrow"/>
        <scheme val="none"/>
      </font>
      <numFmt numFmtId="2" formatCode="0.00"/>
      <fill>
        <patternFill patternType="solid">
          <bgColor theme="0"/>
        </patternFill>
      </fill>
      <alignment horizontal="center" vertical="center" readingOrder="0"/>
    </dxf>
  </rfmt>
  <rfmt sheetId="41"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1"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1"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1446" sId="41" odxf="1" dxf="1">
    <nc r="A10" t="inlineStr">
      <is>
        <t>Желоб водосточный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47" sId="41"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0" start="0" length="0">
    <dxf>
      <font>
        <sz val="6"/>
        <color auto="1"/>
        <name val="Arial Narrow"/>
        <scheme val="none"/>
      </font>
      <numFmt numFmtId="2" formatCode="0.00"/>
      <fill>
        <patternFill patternType="solid">
          <bgColor theme="0"/>
        </patternFill>
      </fill>
      <alignment horizontal="center" vertical="center" readingOrder="0"/>
    </dxf>
  </rfmt>
  <rcc rId="11448" sId="41" odxf="1" dxf="1">
    <nc r="D10" t="inlineStr">
      <is>
        <t>330,17р.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49" sId="41" odxf="1" dxf="1">
    <nc r="E10" t="inlineStr">
      <is>
        <t>424,51р.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0" sId="41" odxf="1" dxf="1">
    <nc r="F10" t="inlineStr">
      <is>
        <t>471,67р.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51" sId="41" odxf="1" dxf="1">
    <nc r="A11" t="inlineStr">
      <is>
        <t>Желоб водосточный 3000 мм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52" sId="41"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1" start="0" length="0">
    <dxf>
      <font>
        <sz val="6"/>
        <color auto="1"/>
        <name val="Arial Narrow"/>
        <scheme val="none"/>
      </font>
      <numFmt numFmtId="2" formatCode="0.00"/>
      <fill>
        <patternFill patternType="solid">
          <bgColor theme="0"/>
        </patternFill>
      </fill>
      <alignment horizontal="center" vertical="center" readingOrder="0"/>
    </dxf>
  </rfmt>
  <rcc rId="11453" sId="41" odxf="1" dxf="1">
    <nc r="D11" t="inlineStr">
      <is>
        <t>363,23р.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4" sId="41" odxf="1" dxf="1">
    <nc r="E11" t="inlineStr">
      <is>
        <t>467,01р.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5" sId="41" odxf="1" dxf="1">
    <nc r="F11" t="inlineStr">
      <is>
        <t>518,90р.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56" sId="41" odxf="1" dxf="1">
    <nc r="A12" t="inlineStr">
      <is>
        <t>Труба водосточная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57" sId="41" odxf="1" dxf="1">
    <nc r="B12">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2" start="0" length="0">
    <dxf>
      <font>
        <sz val="6"/>
        <color auto="1"/>
        <name val="Arial Narrow"/>
        <scheme val="none"/>
      </font>
      <numFmt numFmtId="2" formatCode="0.00"/>
      <fill>
        <patternFill patternType="solid">
          <bgColor theme="0"/>
        </patternFill>
      </fill>
      <alignment horizontal="center" vertical="center" readingOrder="0"/>
    </dxf>
  </rfmt>
  <rcc rId="11458" sId="41" odxf="1" dxf="1">
    <nc r="D12" t="inlineStr">
      <is>
        <t>399,83р.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9" sId="41" odxf="1" dxf="1">
    <nc r="E12" t="inlineStr">
      <is>
        <t>514,07р.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0" sId="41" odxf="1" dxf="1">
    <nc r="F12" t="inlineStr">
      <is>
        <t>571,19р.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61" sId="41" odxf="1" dxf="1">
    <nc r="A13" t="inlineStr">
      <is>
        <t>Труба водосточная 3000 мм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62" sId="41" odxf="1" dxf="1">
    <nc r="B13">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3" start="0" length="0">
    <dxf>
      <font>
        <sz val="6"/>
        <color auto="1"/>
        <name val="Arial Narrow"/>
        <scheme val="none"/>
      </font>
      <numFmt numFmtId="2" formatCode="0.00"/>
      <fill>
        <patternFill patternType="solid">
          <bgColor theme="0"/>
        </patternFill>
      </fill>
      <alignment horizontal="center" vertical="center" readingOrder="0"/>
    </dxf>
  </rfmt>
  <rcc rId="11463" sId="41" odxf="1" dxf="1">
    <nc r="D13" t="inlineStr">
      <is>
        <t>439,83р.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4" sId="41" odxf="1" dxf="1">
    <nc r="E13" t="inlineStr">
      <is>
        <t>565,49р.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5" sId="41" odxf="1" dxf="1">
    <nc r="F13" t="inlineStr">
      <is>
        <t>628,33р.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66" sId="41" odxf="1" dxf="1">
    <nc r="A14" t="inlineStr">
      <is>
        <t>Труба водосточная 1000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67" sId="41" odxf="1" dxf="1">
    <nc r="B14">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4" start="0" length="0">
    <dxf>
      <font>
        <sz val="6"/>
        <color auto="1"/>
        <name val="Arial Narrow"/>
        <scheme val="none"/>
      </font>
      <numFmt numFmtId="2" formatCode="0.00"/>
      <fill>
        <patternFill patternType="solid">
          <bgColor theme="0"/>
        </patternFill>
      </fill>
      <alignment horizontal="center" vertical="center" readingOrder="0"/>
    </dxf>
  </rfmt>
  <rcc rId="11468" sId="41" odxf="1" dxf="1">
    <nc r="D14" t="inlineStr">
      <is>
        <t>153,27р.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9" sId="41" odxf="1" dxf="1">
    <nc r="E14" t="inlineStr">
      <is>
        <t>197,07р.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0" sId="41" odxf="1" dxf="1">
    <nc r="F14" t="inlineStr">
      <is>
        <t>218,96р.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71" sId="41" odxf="1" dxf="1">
    <nc r="A15" t="inlineStr">
      <is>
        <t>Труба водосточная 1000 мм Шоколад, Гранат,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72" sId="41" odxf="1" dxf="1">
    <nc r="B15">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5" start="0" length="0">
    <dxf>
      <font>
        <sz val="6"/>
        <color auto="1"/>
        <name val="Arial Narrow"/>
        <scheme val="none"/>
      </font>
      <numFmt numFmtId="2" formatCode="0.00"/>
      <fill>
        <patternFill patternType="solid">
          <bgColor theme="0"/>
        </patternFill>
      </fill>
      <alignment horizontal="center" vertical="center" readingOrder="0"/>
    </dxf>
  </rfmt>
  <rcc rId="11473" sId="41" odxf="1" dxf="1">
    <nc r="D15" t="inlineStr">
      <is>
        <t>168,61р.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4" sId="41" odxf="1" dxf="1">
    <nc r="E15" t="inlineStr">
      <is>
        <t>216,78р.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5" sId="41" odxf="1" dxf="1">
    <nc r="F15" t="inlineStr">
      <is>
        <t>240,87р.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76" sId="41" odxf="1" dxf="1">
    <nc r="A16" t="inlineStr">
      <is>
        <t>Соединитель желобов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77" sId="41" odxf="1" dxf="1">
    <nc r="B16">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6" start="0" length="0">
    <dxf>
      <font>
        <sz val="6"/>
        <color auto="1"/>
        <name val="Arial Narrow"/>
        <scheme val="none"/>
      </font>
      <numFmt numFmtId="2" formatCode="0.00"/>
      <fill>
        <patternFill patternType="solid">
          <bgColor theme="0"/>
        </patternFill>
      </fill>
      <alignment horizontal="center" vertical="center" readingOrder="0"/>
    </dxf>
  </rfmt>
  <rcc rId="11478" sId="41" odxf="1" dxf="1">
    <nc r="D16" t="inlineStr">
      <is>
        <t>115,07р.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9" sId="41" odxf="1" dxf="1">
    <nc r="E16" t="inlineStr">
      <is>
        <t>147,95р.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0" sId="41" odxf="1" dxf="1">
    <nc r="F16" t="inlineStr">
      <is>
        <t>164,38р.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81" sId="41" odxf="1" dxf="1">
    <nc r="A17" t="inlineStr">
      <is>
        <t>Соединитель желобов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82" sId="41" odxf="1" dxf="1">
    <nc r="B17">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7" start="0" length="0">
    <dxf>
      <font>
        <sz val="6"/>
        <color auto="1"/>
        <name val="Arial Narrow"/>
        <scheme val="none"/>
      </font>
      <numFmt numFmtId="2" formatCode="0.00"/>
      <fill>
        <patternFill patternType="solid">
          <bgColor theme="0"/>
        </patternFill>
      </fill>
      <alignment horizontal="center" vertical="center" readingOrder="0"/>
    </dxf>
  </rfmt>
  <rcc rId="11483" sId="41" odxf="1" dxf="1">
    <nc r="D17" t="inlineStr">
      <is>
        <t>120,78р.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4" sId="41" odxf="1" dxf="1">
    <nc r="E17" t="inlineStr">
      <is>
        <t>155,28р.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5" sId="41" odxf="1" dxf="1">
    <nc r="F17" t="inlineStr">
      <is>
        <t>172,54р.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86" sId="41" odxf="1" dxf="1">
    <nc r="A18" t="inlineStr">
      <is>
        <t>Муфта соединительная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87" sId="41" odxf="1" dxf="1">
    <nc r="B18">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8" start="0" length="0">
    <dxf>
      <font>
        <sz val="6"/>
        <color auto="1"/>
        <name val="Arial Narrow"/>
        <scheme val="none"/>
      </font>
      <numFmt numFmtId="2" formatCode="0.00"/>
      <fill>
        <patternFill patternType="solid">
          <bgColor theme="0"/>
        </patternFill>
      </fill>
      <alignment horizontal="center" vertical="center" readingOrder="0"/>
    </dxf>
  </rfmt>
  <rcc rId="11488" sId="41" odxf="1" dxf="1">
    <nc r="D18" t="inlineStr">
      <is>
        <t>69,08р.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9" sId="41" odxf="1" dxf="1">
    <nc r="E18" t="inlineStr">
      <is>
        <t>88,82р.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0" sId="41" odxf="1" dxf="1">
    <nc r="F18" t="inlineStr">
      <is>
        <t>98,69р.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91" sId="41" odxf="1" dxf="1">
    <nc r="A19" t="inlineStr">
      <is>
        <t>Муфта соединительная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92" sId="41" odxf="1" dxf="1">
    <nc r="B19">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9" start="0" length="0">
    <dxf>
      <font>
        <sz val="6"/>
        <color auto="1"/>
        <name val="Arial Narrow"/>
        <scheme val="none"/>
      </font>
      <numFmt numFmtId="2" formatCode="0.00"/>
      <fill>
        <patternFill patternType="solid">
          <bgColor theme="0"/>
        </patternFill>
      </fill>
      <alignment horizontal="center" vertical="center" readingOrder="0"/>
    </dxf>
  </rfmt>
  <rcc rId="11493" sId="41" odxf="1" dxf="1">
    <nc r="D19" t="inlineStr">
      <is>
        <t>72,64р.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4" sId="41" odxf="1" dxf="1">
    <nc r="E19" t="inlineStr">
      <is>
        <t>93,39р.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5" sId="41" odxf="1" dxf="1">
    <nc r="F19" t="inlineStr">
      <is>
        <t>103,77р.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96" sId="41" odxf="1" dxf="1">
    <nc r="A20" t="inlineStr">
      <is>
        <t>Угловой элемент желоба 90°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97" sId="41" odxf="1" dxf="1">
    <nc r="B20">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0" start="0" length="0">
    <dxf>
      <font>
        <sz val="6"/>
        <color auto="1"/>
        <name val="Arial Narrow"/>
        <scheme val="none"/>
      </font>
      <numFmt numFmtId="2" formatCode="0.00"/>
      <fill>
        <patternFill patternType="solid">
          <bgColor theme="0"/>
        </patternFill>
      </fill>
      <alignment horizontal="center" vertical="center" readingOrder="0"/>
    </dxf>
  </rfmt>
  <rcc rId="11498" sId="41" odxf="1" dxf="1">
    <nc r="D20" t="inlineStr">
      <is>
        <t>179,40р.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9" sId="41" odxf="1" dxf="1">
    <nc r="E20" t="inlineStr">
      <is>
        <t>230,66р.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0" sId="41" odxf="1" dxf="1">
    <nc r="F20" t="inlineStr">
      <is>
        <t>256,29р.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01" sId="41" odxf="1" dxf="1">
    <nc r="A21" t="inlineStr">
      <is>
        <t>Угловой элемент желоба 90° универсальный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02" sId="41" odxf="1" dxf="1">
    <nc r="B21">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1" start="0" length="0">
    <dxf>
      <font>
        <sz val="6"/>
        <color auto="1"/>
        <name val="Arial Narrow"/>
        <scheme val="none"/>
      </font>
      <numFmt numFmtId="2" formatCode="0.00"/>
      <fill>
        <patternFill patternType="solid">
          <bgColor theme="0"/>
        </patternFill>
      </fill>
      <alignment horizontal="center" vertical="center" readingOrder="0"/>
    </dxf>
  </rfmt>
  <rcc rId="11503" sId="41" odxf="1" dxf="1">
    <nc r="D21" t="inlineStr">
      <is>
        <t>188,43р.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4" sId="41" odxf="1" dxf="1">
    <nc r="E21" t="inlineStr">
      <is>
        <t>242,27р.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5" sId="41" odxf="1" dxf="1">
    <nc r="F21" t="inlineStr">
      <is>
        <t>269,19р.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06" sId="41" odxf="1" dxf="1">
    <nc r="A22" t="inlineStr">
      <is>
        <t>Угловой элемент желоба 135°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07" sId="41" odxf="1" dxf="1">
    <nc r="B22">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2" start="0" length="0">
    <dxf>
      <font>
        <sz val="6"/>
        <color auto="1"/>
        <name val="Arial Narrow"/>
        <scheme val="none"/>
      </font>
      <numFmt numFmtId="2" formatCode="0.00"/>
      <fill>
        <patternFill patternType="solid">
          <bgColor theme="0"/>
        </patternFill>
      </fill>
      <alignment horizontal="center" vertical="center" readingOrder="0"/>
    </dxf>
  </rfmt>
  <rcc rId="11508" sId="41" odxf="1" dxf="1">
    <nc r="D22" t="inlineStr">
      <is>
        <t>615,11р.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9" sId="41" odxf="1" dxf="1">
    <nc r="E22" t="inlineStr">
      <is>
        <t>790,86р.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0" sId="41" odxf="1" dxf="1">
    <nc r="F22" t="inlineStr">
      <is>
        <t>878,73р.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11" sId="41" odxf="1" dxf="1">
    <nc r="A23" t="inlineStr">
      <is>
        <t>Угловой элемент желоба 135°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12" sId="41" odxf="1" dxf="1">
    <nc r="B23">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3" start="0" length="0">
    <dxf>
      <font>
        <sz val="6"/>
        <color auto="1"/>
        <name val="Arial Narrow"/>
        <scheme val="none"/>
      </font>
      <numFmt numFmtId="2" formatCode="0.00"/>
      <fill>
        <patternFill patternType="solid">
          <bgColor theme="0"/>
        </patternFill>
      </fill>
      <alignment horizontal="center" vertical="center" readingOrder="0"/>
    </dxf>
  </rfmt>
  <rcc rId="11513" sId="41" odxf="1" dxf="1">
    <nc r="D23" t="inlineStr">
      <is>
        <t>645,83р.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4" sId="41" odxf="1" dxf="1">
    <nc r="E23" t="inlineStr">
      <is>
        <t>830,35р.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5" sId="41" odxf="1" dxf="1">
    <nc r="F23" t="inlineStr">
      <is>
        <t>922,62р.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16" sId="41" odxf="1" dxf="1">
    <nc r="A24" t="inlineStr">
      <is>
        <t>Заглушка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17" sId="41" odxf="1" dxf="1">
    <nc r="B24">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4" start="0" length="0">
    <dxf>
      <font>
        <sz val="6"/>
        <color auto="1"/>
        <name val="Arial Narrow"/>
        <scheme val="none"/>
      </font>
      <numFmt numFmtId="2" formatCode="0.00"/>
      <fill>
        <patternFill patternType="solid">
          <bgColor theme="0"/>
        </patternFill>
      </fill>
      <alignment horizontal="center" vertical="center" readingOrder="0"/>
    </dxf>
  </rfmt>
  <rcc rId="11518" sId="41" odxf="1" dxf="1">
    <nc r="D24" t="inlineStr">
      <is>
        <t>55,26р.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9" sId="41" odxf="1" dxf="1">
    <nc r="E24" t="inlineStr">
      <is>
        <t>71,05р.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0" sId="41" odxf="1" dxf="1">
    <nc r="F24" t="inlineStr">
      <is>
        <t>78,94р.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21" sId="41" odxf="1" dxf="1">
    <nc r="A25" t="inlineStr">
      <is>
        <t>Заглушка желоба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22" sId="41" odxf="1" dxf="1">
    <nc r="B25">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5" start="0" length="0">
    <dxf>
      <font>
        <sz val="6"/>
        <color auto="1"/>
        <name val="Arial Narrow"/>
        <scheme val="none"/>
      </font>
      <numFmt numFmtId="2" formatCode="0.00"/>
      <fill>
        <patternFill patternType="solid">
          <bgColor theme="0"/>
        </patternFill>
      </fill>
      <alignment horizontal="center" vertical="center" readingOrder="0"/>
    </dxf>
  </rfmt>
  <rcc rId="11523" sId="41" odxf="1" dxf="1">
    <nc r="D25" t="inlineStr">
      <is>
        <t>58,02р.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4" sId="41" odxf="1" dxf="1">
    <nc r="E25" t="inlineStr">
      <is>
        <t>74,60р.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5" sId="41" odxf="1" dxf="1">
    <nc r="F25" t="inlineStr">
      <is>
        <t>82,88р.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26" sId="41" odxf="1" dxf="1">
    <nc r="A26" t="inlineStr">
      <is>
        <t>Заглушка воронки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27" sId="41" odxf="1" dxf="1">
    <nc r="B26">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6" start="0" length="0">
    <dxf>
      <font>
        <sz val="6"/>
        <color auto="1"/>
        <name val="Arial Narrow"/>
        <scheme val="none"/>
      </font>
      <numFmt numFmtId="2" formatCode="0.00"/>
      <fill>
        <patternFill patternType="solid">
          <bgColor theme="0"/>
        </patternFill>
      </fill>
      <alignment horizontal="center" vertical="center" readingOrder="0"/>
    </dxf>
  </rfmt>
  <rcc rId="11528" sId="41" odxf="1" dxf="1">
    <nc r="D26" t="inlineStr">
      <is>
        <t>55,26р.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9" sId="41" odxf="1" dxf="1">
    <nc r="E26" t="inlineStr">
      <is>
        <t>71,05р.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0" sId="41" odxf="1" dxf="1">
    <nc r="F26" t="inlineStr">
      <is>
        <t>78,94р.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31" sId="41" odxf="1" dxf="1">
    <nc r="A27" t="inlineStr">
      <is>
        <t>Заглушка воронки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32" sId="41" odxf="1" dxf="1">
    <nc r="B27">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7" start="0" length="0">
    <dxf>
      <font>
        <sz val="6"/>
        <color auto="1"/>
        <name val="Arial Narrow"/>
        <scheme val="none"/>
      </font>
      <numFmt numFmtId="2" formatCode="0.00"/>
      <fill>
        <patternFill patternType="solid">
          <bgColor theme="0"/>
        </patternFill>
      </fill>
      <alignment horizontal="center" vertical="center" readingOrder="0"/>
    </dxf>
  </rfmt>
  <rcc rId="11533" sId="41" odxf="1" dxf="1">
    <nc r="D27" t="inlineStr">
      <is>
        <t>58,02р.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4" sId="41" odxf="1" dxf="1">
    <nc r="E27" t="inlineStr">
      <is>
        <t>74,60р.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5" sId="41" odxf="1" dxf="1">
    <nc r="F27" t="inlineStr">
      <is>
        <t>82,88р.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36" sId="41" odxf="1" dxf="1">
    <nc r="A28" t="inlineStr">
      <is>
        <t>Крепление регулируемое для кронштейна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37" sId="41" odxf="1" dxf="1">
    <nc r="B28">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8" start="0" length="0">
    <dxf>
      <font>
        <sz val="6"/>
        <color auto="1"/>
        <name val="Arial Narrow"/>
        <scheme val="none"/>
      </font>
      <numFmt numFmtId="2" formatCode="0.00"/>
      <fill>
        <patternFill patternType="solid">
          <bgColor theme="0"/>
        </patternFill>
      </fill>
      <alignment horizontal="center" vertical="center" readingOrder="0"/>
    </dxf>
  </rfmt>
  <rcc rId="11538" sId="41" odxf="1" dxf="1">
    <nc r="D28" t="inlineStr">
      <is>
        <t>134,05р.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9" sId="41" odxf="1" dxf="1">
    <nc r="E28" t="inlineStr">
      <is>
        <t>172,35р.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0" sId="41" odxf="1" dxf="1">
    <nc r="F28" t="inlineStr">
      <is>
        <t>191,50р.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41" sId="41" odxf="1" dxf="1">
    <nc r="A29" t="inlineStr">
      <is>
        <t>Крепление регулируемое для кронштейна желоба Шоколад,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42" sId="41" odxf="1" dxf="1">
    <nc r="B29">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9" start="0" length="0">
    <dxf>
      <font>
        <sz val="6"/>
        <color auto="1"/>
        <name val="Arial Narrow"/>
        <scheme val="none"/>
      </font>
      <numFmt numFmtId="2" formatCode="0.00"/>
      <fill>
        <patternFill patternType="solid">
          <bgColor theme="0"/>
        </patternFill>
      </fill>
      <alignment horizontal="center" vertical="center" readingOrder="0"/>
    </dxf>
  </rfmt>
  <rcc rId="11543" sId="41" odxf="1" dxf="1">
    <nc r="D29" t="inlineStr">
      <is>
        <t>140,74р.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4" sId="41" odxf="1" dxf="1">
    <nc r="E29" t="inlineStr">
      <is>
        <t>180,95р.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5" sId="41" odxf="1" dxf="1">
    <nc r="F29" t="inlineStr">
      <is>
        <t>201,06р.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46" sId="41" odxf="1" dxf="1">
    <nc r="A30" t="inlineStr">
      <is>
        <t>Кронштейн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47" sId="41" odxf="1" dxf="1">
    <nc r="B30">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0" start="0" length="0">
    <dxf>
      <font>
        <sz val="6"/>
        <color auto="1"/>
        <name val="Arial Narrow"/>
        <scheme val="none"/>
      </font>
      <numFmt numFmtId="2" formatCode="0.00"/>
      <fill>
        <patternFill patternType="solid">
          <bgColor theme="0"/>
        </patternFill>
      </fill>
      <alignment horizontal="center" vertical="center" readingOrder="0"/>
    </dxf>
  </rfmt>
  <rcc rId="11548" sId="41" odxf="1" dxf="1">
    <nc r="D30" t="inlineStr">
      <is>
        <t>37,58р.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9" sId="41" odxf="1" dxf="1">
    <nc r="E30" t="inlineStr">
      <is>
        <t>48,32р.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0" sId="41" odxf="1" dxf="1">
    <nc r="F30" t="inlineStr">
      <is>
        <t>53,69р.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51" sId="41" odxf="1" dxf="1">
    <nc r="A31" t="inlineStr">
      <is>
        <t>Кронштейн желоба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52" sId="41" odxf="1" dxf="1">
    <nc r="B31">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1" start="0" length="0">
    <dxf>
      <font>
        <sz val="6"/>
        <color auto="1"/>
        <name val="Arial Narrow"/>
        <scheme val="none"/>
      </font>
      <numFmt numFmtId="2" formatCode="0.00"/>
      <fill>
        <patternFill patternType="solid">
          <bgColor theme="0"/>
        </patternFill>
      </fill>
      <alignment horizontal="center" vertical="center" readingOrder="0"/>
    </dxf>
  </rfmt>
  <rcc rId="11553" sId="41" odxf="1" dxf="1">
    <nc r="D31" t="inlineStr">
      <is>
        <t>39,48р.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4" sId="41" odxf="1" dxf="1">
    <nc r="E31" t="inlineStr">
      <is>
        <t>50,76р.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5" sId="41" odxf="1" dxf="1">
    <nc r="F31" t="inlineStr">
      <is>
        <t>56,40р.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56" sId="41" odxf="1" dxf="1">
    <nc r="A32" t="inlineStr">
      <is>
        <t>Воронка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57" sId="41" odxf="1" dxf="1">
    <nc r="B32">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2" start="0" length="0">
    <dxf>
      <font>
        <sz val="6"/>
        <color auto="1"/>
        <name val="Arial Narrow"/>
        <scheme val="none"/>
      </font>
      <numFmt numFmtId="2" formatCode="0.00"/>
      <fill>
        <patternFill patternType="solid">
          <bgColor theme="0"/>
        </patternFill>
      </fill>
      <alignment horizontal="center" vertical="center" readingOrder="0"/>
    </dxf>
  </rfmt>
  <rcc rId="11558" sId="41" odxf="1" dxf="1">
    <nc r="D32" t="inlineStr">
      <is>
        <t>208,16р.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9" sId="41" odxf="1" dxf="1">
    <nc r="E32" t="inlineStr">
      <is>
        <t>267,63р.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0" sId="41" odxf="1" dxf="1">
    <nc r="F32" t="inlineStr">
      <is>
        <t>297,37р.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61" sId="41" odxf="1" dxf="1">
    <nc r="A33" t="inlineStr">
      <is>
        <t>Воронка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62" sId="41" odxf="1" dxf="1">
    <nc r="B33">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3" start="0" length="0">
    <dxf>
      <font>
        <sz val="6"/>
        <color auto="1"/>
        <name val="Arial Narrow"/>
        <scheme val="none"/>
      </font>
      <numFmt numFmtId="2" formatCode="0.00"/>
      <fill>
        <patternFill patternType="solid">
          <bgColor theme="0"/>
        </patternFill>
      </fill>
      <alignment horizontal="center" vertical="center" readingOrder="0"/>
    </dxf>
  </rfmt>
  <rcc rId="11563" sId="41" odxf="1" dxf="1">
    <nc r="D33" t="inlineStr">
      <is>
        <t>218,59р.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4" sId="41" odxf="1" dxf="1">
    <nc r="E33" t="inlineStr">
      <is>
        <t>281,04р.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5" sId="41" odxf="1" dxf="1">
    <nc r="F33" t="inlineStr">
      <is>
        <t>312,27р.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66" sId="41" odxf="1" dxf="1">
    <nc r="A34" t="inlineStr">
      <is>
        <t>Колено 45°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67" sId="41" odxf="1" dxf="1">
    <nc r="B34">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4" start="0" length="0">
    <dxf>
      <font>
        <sz val="6"/>
        <color auto="1"/>
        <name val="Arial Narrow"/>
        <scheme val="none"/>
      </font>
      <numFmt numFmtId="2" formatCode="0.00"/>
      <fill>
        <patternFill patternType="solid">
          <bgColor theme="0"/>
        </patternFill>
      </fill>
      <alignment horizontal="center" vertical="center" readingOrder="0"/>
    </dxf>
  </rfmt>
  <rcc rId="11568" sId="41" odxf="1" dxf="1">
    <nc r="D34" t="inlineStr">
      <is>
        <t>129,38р.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9" sId="41" odxf="1" dxf="1">
    <nc r="E34" t="inlineStr">
      <is>
        <t>166,34р.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0" sId="41" odxf="1" dxf="1">
    <nc r="F34" t="inlineStr">
      <is>
        <t>184,83р.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71" sId="41" odxf="1" dxf="1">
    <nc r="A35" t="inlineStr">
      <is>
        <t>Колено 45°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72" sId="41" odxf="1" dxf="1">
    <nc r="B35">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5" start="0" length="0">
    <dxf>
      <font>
        <sz val="6"/>
        <color auto="1"/>
        <name val="Arial Narrow"/>
        <scheme val="none"/>
      </font>
      <numFmt numFmtId="2" formatCode="0.00"/>
      <fill>
        <patternFill patternType="solid">
          <bgColor theme="0"/>
        </patternFill>
      </fill>
      <alignment horizontal="center" vertical="center" readingOrder="0"/>
    </dxf>
  </rfmt>
  <rcc rId="11573" sId="41" odxf="1" dxf="1">
    <nc r="D35" t="inlineStr">
      <is>
        <t>135,84р.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4" sId="41" odxf="1" dxf="1">
    <nc r="E35" t="inlineStr">
      <is>
        <t>174,65р.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5" sId="41" odxf="1" dxf="1">
    <nc r="F35" t="inlineStr">
      <is>
        <t>194,06р.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76" sId="41" odxf="1" dxf="1">
    <nc r="A36" t="inlineStr">
      <is>
        <t>Колено 72°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77" sId="41" odxf="1" dxf="1">
    <nc r="B36">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6" start="0" length="0">
    <dxf>
      <font>
        <sz val="6"/>
        <color auto="1"/>
        <name val="Arial Narrow"/>
        <scheme val="none"/>
      </font>
      <numFmt numFmtId="2" formatCode="0.00"/>
      <fill>
        <patternFill patternType="solid">
          <bgColor theme="0"/>
        </patternFill>
      </fill>
      <alignment horizontal="center" vertical="center" readingOrder="0"/>
    </dxf>
  </rfmt>
  <rcc rId="11578" sId="41" odxf="1" dxf="1">
    <nc r="D36" t="inlineStr">
      <is>
        <t>129,38р.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9" sId="41" odxf="1" dxf="1">
    <nc r="E36" t="inlineStr">
      <is>
        <t>166,34р.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0" sId="41" odxf="1" dxf="1">
    <nc r="F36" t="inlineStr">
      <is>
        <t>184,83р.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81" sId="41" odxf="1" dxf="1">
    <nc r="A37" t="inlineStr">
      <is>
        <t>Колено 72°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82" sId="41" odxf="1" dxf="1">
    <nc r="B37">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7" start="0" length="0">
    <dxf>
      <font>
        <sz val="6"/>
        <color auto="1"/>
        <name val="Arial Narrow"/>
        <scheme val="none"/>
      </font>
      <numFmt numFmtId="2" formatCode="0.00"/>
      <fill>
        <patternFill patternType="solid">
          <bgColor theme="0"/>
        </patternFill>
      </fill>
      <alignment horizontal="center" vertical="center" readingOrder="0"/>
    </dxf>
  </rfmt>
  <rcc rId="11583" sId="41" odxf="1" dxf="1">
    <nc r="D37" t="inlineStr">
      <is>
        <t>135,84р.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4" sId="41" odxf="1" dxf="1">
    <nc r="E37" t="inlineStr">
      <is>
        <t>174,65р.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5" sId="41" odxf="1" dxf="1">
    <nc r="F37" t="inlineStr">
      <is>
        <t>194,06р.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86" sId="41" odxf="1" dxf="1">
    <nc r="A38" t="inlineStr">
      <is>
        <t>Хомут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87" sId="41" odxf="1" dxf="1">
    <nc r="B38">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8" start="0" length="0">
    <dxf>
      <font>
        <sz val="6"/>
        <color auto="1"/>
        <name val="Arial Narrow"/>
        <scheme val="none"/>
      </font>
      <numFmt numFmtId="2" formatCode="0.00"/>
      <fill>
        <patternFill patternType="solid">
          <bgColor theme="0"/>
        </patternFill>
      </fill>
      <alignment horizontal="center" vertical="center" readingOrder="0"/>
    </dxf>
  </rfmt>
  <rcc rId="11588" sId="41" odxf="1" dxf="1">
    <nc r="D38" t="inlineStr">
      <is>
        <t>51,92р.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9" sId="41" odxf="1" dxf="1">
    <nc r="E38" t="inlineStr">
      <is>
        <t>66,76р.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0" sId="41" odxf="1" dxf="1">
    <nc r="F38" t="inlineStr">
      <is>
        <t>74,17р.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91" sId="41" odxf="1" dxf="1">
    <nc r="A39" t="inlineStr">
      <is>
        <t>Хомут универсальный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92" sId="41" odxf="1" dxf="1">
    <nc r="B39">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9" start="0" length="0">
    <dxf>
      <font>
        <sz val="6"/>
        <color auto="1"/>
        <name val="Arial Narrow"/>
        <scheme val="none"/>
      </font>
      <numFmt numFmtId="2" formatCode="0.00"/>
      <fill>
        <patternFill patternType="solid">
          <bgColor theme="0"/>
        </patternFill>
      </fill>
      <alignment horizontal="center" vertical="center" readingOrder="0"/>
    </dxf>
  </rfmt>
  <rcc rId="11593" sId="41" odxf="1" dxf="1">
    <nc r="D39" t="inlineStr">
      <is>
        <t>54,53р.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4" sId="41" odxf="1" dxf="1">
    <nc r="E39" t="inlineStr">
      <is>
        <t>70,11р.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5" sId="41" odxf="1" dxf="1">
    <nc r="F39" t="inlineStr">
      <is>
        <t>77,90р.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96" sId="41" odxf="1" dxf="1">
    <nc r="A40" t="inlineStr">
      <is>
        <t>Наконечник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597" sId="41" odxf="1" dxf="1">
    <nc r="B40">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0" start="0" length="0">
    <dxf>
      <font>
        <sz val="6"/>
        <color auto="1"/>
        <name val="Arial Narrow"/>
        <scheme val="none"/>
      </font>
      <numFmt numFmtId="2" formatCode="0.00"/>
      <fill>
        <patternFill patternType="solid">
          <bgColor theme="0"/>
        </patternFill>
      </fill>
      <alignment horizontal="center" vertical="center" readingOrder="0"/>
    </dxf>
  </rfmt>
  <rcc rId="11598" sId="41" odxf="1" dxf="1">
    <nc r="D40" t="inlineStr">
      <is>
        <t>122,81р.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9" sId="41" odxf="1" dxf="1">
    <nc r="E40" t="inlineStr">
      <is>
        <t>157,90р.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0" sId="41" odxf="1" dxf="1">
    <nc r="F40" t="inlineStr">
      <is>
        <t>175,44р.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01" sId="41" odxf="1" dxf="1">
    <nc r="A41" t="inlineStr">
      <is>
        <t>Наконечник Шоколад, Гранат, Графит,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02" sId="41" odxf="1" dxf="1">
    <nc r="B41">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1" start="0" length="0">
    <dxf>
      <font>
        <sz val="6"/>
        <color auto="1"/>
        <name val="Arial Narrow"/>
        <scheme val="none"/>
      </font>
      <numFmt numFmtId="2" formatCode="0.00"/>
      <fill>
        <patternFill patternType="solid">
          <bgColor theme="0"/>
        </patternFill>
      </fill>
      <alignment horizontal="center" vertical="center" readingOrder="0"/>
    </dxf>
  </rfmt>
  <rcc rId="11603" sId="41" odxf="1" dxf="1">
    <nc r="D41" t="inlineStr">
      <is>
        <t>128,95р.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4" sId="41" odxf="1" dxf="1">
    <nc r="E41" t="inlineStr">
      <is>
        <t>165,79р.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5" sId="41" odxf="1" dxf="1">
    <nc r="F41" t="inlineStr">
      <is>
        <t>184,21р.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06" sId="41" odxf="1" dxf="1">
    <nc r="A42" t="inlineStr">
      <is>
        <t>Сетка защитная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07" sId="41" odxf="1" dxf="1">
    <nc r="B42">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2" start="0" length="0">
    <dxf>
      <font>
        <sz val="6"/>
        <color auto="1"/>
        <name val="Arial Narrow"/>
        <scheme val="none"/>
      </font>
      <numFmt numFmtId="2" formatCode="0.00"/>
      <fill>
        <patternFill patternType="solid">
          <bgColor theme="0"/>
        </patternFill>
      </fill>
      <alignment horizontal="center" vertical="center" readingOrder="0"/>
    </dxf>
  </rfmt>
  <rcc rId="11608" sId="41" odxf="1" dxf="1">
    <nc r="D42" t="inlineStr">
      <is>
        <t>43,44р.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9" sId="41" odxf="1" dxf="1">
    <nc r="E42" t="inlineStr">
      <is>
        <t>55,85р.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0" sId="41" odxf="1" dxf="1">
    <nc r="F42" t="inlineStr">
      <is>
        <t>62,06р.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11" sId="41" odxf="1" dxf="1">
    <nc r="A43" t="inlineStr">
      <is>
        <t>Сетка защитная Шоколад, Гранат, Графит, Каштан</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1612" sId="41" odxf="1" dxf="1">
    <nc r="B43">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3" start="0" length="0">
    <dxf>
      <font>
        <sz val="6"/>
        <color auto="1"/>
        <name val="Arial Narrow"/>
        <scheme val="none"/>
      </font>
      <numFmt numFmtId="2" formatCode="0.00"/>
      <fill>
        <patternFill patternType="solid">
          <bgColor theme="0"/>
        </patternFill>
      </fill>
      <alignment horizontal="center" vertical="center" readingOrder="0"/>
    </dxf>
  </rfmt>
  <rcc rId="11613" sId="41" odxf="1" dxf="1">
    <nc r="D43" t="inlineStr">
      <is>
        <t>45,62р.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4" sId="41" odxf="1" dxf="1">
    <nc r="E43" t="inlineStr">
      <is>
        <t>58,66р.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5" sId="41" odxf="1" dxf="1">
    <nc r="F43" t="inlineStr">
      <is>
        <t>65,17р.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16" sId="41" odxf="1" dxf="1">
    <nc r="A44" t="inlineStr">
      <is>
        <t>Кронштейн желоба металлический 300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17" sId="41" odxf="1" dxf="1">
    <nc r="B44">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4" start="0" length="0">
    <dxf>
      <font>
        <sz val="6"/>
        <color auto="1"/>
        <name val="Arial Narrow"/>
        <scheme val="none"/>
      </font>
      <numFmt numFmtId="2" formatCode="0.00"/>
      <fill>
        <patternFill patternType="solid">
          <bgColor theme="0"/>
        </patternFill>
      </fill>
      <alignment horizontal="center" vertical="center" readingOrder="0"/>
    </dxf>
  </rfmt>
  <rcc rId="11618" sId="41" odxf="1" dxf="1">
    <nc r="D44" t="inlineStr">
      <is>
        <t>120,31р.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9" sId="41" odxf="1" dxf="1">
    <nc r="E44" t="inlineStr">
      <is>
        <t>154,68р.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0" sId="41" odxf="1" dxf="1">
    <nc r="F44" t="inlineStr">
      <is>
        <t>171,87р.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21" sId="41" odxf="1" dxf="1">
    <nc r="A45" t="inlineStr">
      <is>
        <t>Кронштейн желоба металлический 300 мм Шоколад, Гранат, Графит,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22" sId="41" odxf="1" dxf="1">
    <nc r="B45">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5" start="0" length="0">
    <dxf>
      <font>
        <sz val="6"/>
        <color auto="1"/>
        <name val="Arial Narrow"/>
        <scheme val="none"/>
      </font>
      <numFmt numFmtId="2" formatCode="0.00"/>
      <fill>
        <patternFill patternType="solid">
          <bgColor theme="0"/>
        </patternFill>
      </fill>
      <alignment horizontal="center" vertical="center" readingOrder="0"/>
    </dxf>
  </rfmt>
  <rcc rId="11623" sId="41" odxf="1" dxf="1">
    <nc r="D45" t="inlineStr">
      <is>
        <t>120,31р.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4" sId="41" odxf="1" dxf="1">
    <nc r="E45" t="inlineStr">
      <is>
        <t>154,68р.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5" sId="41" odxf="1" dxf="1">
    <nc r="F45" t="inlineStr">
      <is>
        <t>171,87р.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26" sId="41" odxf="1" dxf="1">
    <nc r="A46" t="inlineStr">
      <is>
        <t>Шпилька специальная с гайкой 120 мм  (оцинкованная)</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27" sId="41" odxf="1" dxf="1">
    <nc r="B46">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6" start="0" length="0">
    <dxf>
      <font>
        <sz val="6"/>
        <color auto="1"/>
        <name val="Arial Narrow"/>
        <scheme val="none"/>
      </font>
      <numFmt numFmtId="2" formatCode="0.00"/>
      <fill>
        <patternFill patternType="solid">
          <bgColor theme="0"/>
        </patternFill>
      </fill>
      <alignment horizontal="center" vertical="center" readingOrder="0"/>
    </dxf>
  </rfmt>
  <rcc rId="11628" sId="41" odxf="1" dxf="1">
    <nc r="D46" t="inlineStr">
      <is>
        <t>106,59р.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9" sId="41" odxf="1" dxf="1">
    <nc r="E46" t="inlineStr">
      <is>
        <t>137,04р.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30" sId="41" odxf="1" dxf="1">
    <nc r="F46" t="inlineStr">
      <is>
        <t>152,27р.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1" sqref="A47" start="0" length="0">
    <dxf>
      <font>
        <sz val="11"/>
        <color theme="1"/>
        <name val="Arial Narrow"/>
        <scheme val="none"/>
      </font>
      <fill>
        <patternFill patternType="solid">
          <bgColor theme="0"/>
        </patternFill>
      </fill>
      <alignment vertical="center" readingOrder="0"/>
    </dxf>
  </rfmt>
  <rfmt sheetId="41" sqref="B47" start="0" length="0">
    <dxf>
      <font>
        <sz val="11"/>
        <color theme="1"/>
        <name val="Arial Narrow"/>
        <scheme val="none"/>
      </font>
      <fill>
        <patternFill patternType="solid">
          <bgColor theme="0"/>
        </patternFill>
      </fill>
      <alignment vertical="center" readingOrder="0"/>
    </dxf>
  </rfmt>
  <rfmt sheetId="41" sqref="C47" start="0" length="0">
    <dxf>
      <font>
        <sz val="11"/>
        <color auto="1"/>
        <name val="Arial Narrow"/>
        <scheme val="none"/>
      </font>
      <fill>
        <patternFill patternType="solid">
          <bgColor theme="0"/>
        </patternFill>
      </fill>
      <alignment vertical="center" readingOrder="0"/>
    </dxf>
  </rfmt>
  <rfmt sheetId="41" sqref="D47" start="0" length="0">
    <dxf>
      <font>
        <sz val="11"/>
        <color auto="1"/>
        <name val="Arial Narrow"/>
        <scheme val="none"/>
      </font>
      <numFmt numFmtId="13" formatCode="0%"/>
      <fill>
        <patternFill patternType="solid">
          <bgColor theme="9" tint="0.79998168889431442"/>
        </patternFill>
      </fill>
      <alignment vertical="center" readingOrder="0"/>
    </dxf>
  </rfmt>
  <rfmt sheetId="41" sqref="E47" start="0" length="0">
    <dxf>
      <font>
        <sz val="11"/>
        <color auto="1"/>
        <name val="Arial Narrow"/>
        <scheme val="none"/>
      </font>
      <numFmt numFmtId="13" formatCode="0%"/>
      <fill>
        <patternFill patternType="solid">
          <bgColor theme="9" tint="0.79998168889431442"/>
        </patternFill>
      </fill>
      <alignment vertical="center" readingOrder="0"/>
    </dxf>
  </rfmt>
  <rfmt sheetId="41" sqref="F47" start="0" length="0">
    <dxf>
      <font>
        <sz val="11"/>
        <color auto="1"/>
        <name val="Arial Narrow"/>
        <scheme val="none"/>
      </font>
      <numFmt numFmtId="13" formatCode="0%"/>
      <fill>
        <patternFill patternType="solid">
          <bgColor theme="9" tint="0.79998168889431442"/>
        </patternFill>
      </fill>
      <alignment vertical="center" readingOrder="0"/>
    </dxf>
  </rfmt>
  <rfmt sheetId="41" sqref="A48" start="0" length="0">
    <dxf>
      <font>
        <sz val="11"/>
        <color auto="1"/>
        <name val="Arial Narrow"/>
        <scheme val="none"/>
      </font>
      <fill>
        <patternFill patternType="solid">
          <bgColor theme="0"/>
        </patternFill>
      </fill>
      <alignment vertical="center" readingOrder="0"/>
    </dxf>
  </rfmt>
  <rfmt sheetId="41" sqref="B48" start="0" length="0">
    <dxf>
      <font>
        <sz val="11"/>
        <color theme="1"/>
        <name val="Arial Narrow"/>
        <scheme val="none"/>
      </font>
      <fill>
        <patternFill patternType="solid">
          <bgColor theme="0"/>
        </patternFill>
      </fill>
      <alignment vertical="center" readingOrder="0"/>
    </dxf>
  </rfmt>
  <rfmt sheetId="41" sqref="C48" start="0" length="0">
    <dxf>
      <font>
        <sz val="11"/>
        <color auto="1"/>
        <name val="Arial Narrow"/>
        <scheme val="none"/>
      </font>
      <fill>
        <patternFill patternType="solid">
          <bgColor theme="0"/>
        </patternFill>
      </fill>
      <alignment vertical="center" readingOrder="0"/>
    </dxf>
  </rfmt>
  <rfmt sheetId="41" sqref="D48" start="0" length="0">
    <dxf>
      <font>
        <sz val="11"/>
        <color auto="1"/>
        <name val="Arial Narrow"/>
        <scheme val="none"/>
      </font>
      <fill>
        <patternFill patternType="solid">
          <bgColor theme="0"/>
        </patternFill>
      </fill>
      <alignment vertical="center" readingOrder="0"/>
    </dxf>
  </rfmt>
  <rfmt sheetId="41" sqref="E48" start="0" length="0">
    <dxf>
      <font>
        <sz val="11"/>
        <color auto="1"/>
        <name val="Arial Narrow"/>
        <scheme val="none"/>
      </font>
      <fill>
        <patternFill patternType="solid">
          <bgColor theme="0"/>
        </patternFill>
      </fill>
      <alignment vertical="center" readingOrder="0"/>
    </dxf>
  </rfmt>
  <rfmt sheetId="41" sqref="F48" start="0" length="0">
    <dxf>
      <font>
        <sz val="11"/>
        <color auto="1"/>
        <name val="Arial Narrow"/>
        <scheme val="none"/>
      </font>
      <fill>
        <patternFill patternType="solid">
          <bgColor theme="0"/>
        </patternFill>
      </fill>
      <alignment vertical="center" readingOrder="0"/>
    </dxf>
  </rfmt>
  <rrc rId="11631" sId="41" ref="A5:XFD5" action="deleteRow">
    <rfmt sheetId="41" xfDxf="1" sqref="A5:XFD5" start="0" length="0"/>
    <rfmt sheetId="41" sqref="A5" start="0" length="0">
      <dxf>
        <font>
          <sz val="11"/>
          <color theme="1"/>
          <name val="Arial Narrow"/>
          <scheme val="none"/>
        </font>
        <fill>
          <patternFill patternType="solid">
            <bgColor theme="0"/>
          </patternFill>
        </fill>
        <alignment vertical="center" readingOrder="0"/>
      </dxf>
    </rfmt>
    <rfmt sheetId="41" sqref="B5" start="0" length="0">
      <dxf>
        <font>
          <sz val="11"/>
          <color theme="1"/>
          <name val="Arial Narrow"/>
          <scheme val="none"/>
        </font>
        <fill>
          <patternFill patternType="solid">
            <bgColor theme="0"/>
          </patternFill>
        </fill>
        <alignment vertical="center" readingOrder="0"/>
      </dxf>
    </rfmt>
    <rfmt sheetId="41" sqref="C5" start="0" length="0">
      <dxf>
        <font>
          <sz val="11"/>
          <color auto="1"/>
          <name val="Arial Narrow"/>
          <scheme val="none"/>
        </font>
        <fill>
          <patternFill patternType="solid">
            <bgColor theme="0"/>
          </patternFill>
        </fill>
        <alignment vertical="center" readingOrder="0"/>
      </dxf>
    </rfmt>
    <rfmt sheetId="41" sqref="D5" start="0" length="0">
      <dxf>
        <font>
          <sz val="11"/>
          <color auto="1"/>
          <name val="Arial Narrow"/>
          <scheme val="none"/>
        </font>
        <fill>
          <patternFill patternType="solid">
            <bgColor theme="0"/>
          </patternFill>
        </fill>
        <alignment vertical="center" readingOrder="0"/>
      </dxf>
    </rfmt>
    <rfmt sheetId="41" sqref="E5" start="0" length="0">
      <dxf>
        <font>
          <sz val="11"/>
          <color auto="1"/>
          <name val="Arial Narrow"/>
          <scheme val="none"/>
        </font>
        <fill>
          <patternFill patternType="solid">
            <bgColor theme="0"/>
          </patternFill>
        </fill>
        <alignment vertical="center" readingOrder="0"/>
      </dxf>
    </rfmt>
    <rfmt sheetId="41" sqref="F5" start="0" length="0">
      <dxf>
        <font>
          <sz val="11"/>
          <color auto="1"/>
          <name val="Arial Narrow"/>
          <scheme val="none"/>
        </font>
        <fill>
          <patternFill patternType="solid">
            <bgColor theme="0"/>
          </patternFill>
        </fill>
        <alignment vertical="center" readingOrder="0"/>
      </dxf>
    </rfmt>
  </rrc>
  <rrc rId="11632" sId="41" ref="A3:XFD3" action="deleteRow">
    <rfmt sheetId="41" xfDxf="1" sqref="A3:XFD3" start="0" length="0"/>
  </rrc>
  <rcc rId="11633" sId="41"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1"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1" sqref="A1:F1" start="0" length="2147483647">
    <dxf>
      <font>
        <sz val="18"/>
      </font>
    </dxf>
  </rfmt>
  <rrc rId="11634" sId="41" ref="A2:XFD2" action="deleteRow">
    <rfmt sheetId="41" xfDxf="1" sqref="A2:XFD2" start="0" length="0"/>
  </rrc>
  <ris rId="11635" sheetId="42" name="[ПРАЙС ЦЕНТР-ТИМ 2019 обновленный.xlsx]Водосток STANDARD (обновленный)" sheetPosition="41"/>
  <rcc rId="11636" sId="42" odxf="1" dxf="1">
    <nc r="A4" t="inlineStr">
      <is>
        <t>Водосточная система ПВХ DÖCKE STANDARD.</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2" sqref="B4" start="0" length="0">
    <dxf>
      <font>
        <b/>
        <sz val="11"/>
        <color theme="1"/>
        <name val="Arial Narrow"/>
        <scheme val="none"/>
      </font>
      <fill>
        <patternFill patternType="solid">
          <bgColor theme="0"/>
        </patternFill>
      </fill>
      <alignment vertical="center" readingOrder="0"/>
    </dxf>
  </rfmt>
  <rfmt sheetId="42" sqref="C4" start="0" length="0">
    <dxf>
      <font>
        <sz val="11"/>
        <color auto="1"/>
        <name val="Arial Narrow"/>
        <scheme val="none"/>
      </font>
      <fill>
        <patternFill patternType="solid">
          <bgColor theme="0"/>
        </patternFill>
      </fill>
      <alignment vertical="center" readingOrder="0"/>
    </dxf>
  </rfmt>
  <rfmt sheetId="42" sqref="D4" start="0" length="0">
    <dxf>
      <font>
        <b/>
        <sz val="11"/>
        <color auto="1"/>
        <name val="Arial Narrow"/>
        <scheme val="none"/>
      </font>
      <fill>
        <patternFill patternType="solid">
          <bgColor theme="0"/>
        </patternFill>
      </fill>
      <alignment horizontal="right" vertical="center" readingOrder="0"/>
    </dxf>
  </rfmt>
  <rfmt sheetId="42" sqref="E4" start="0" length="0">
    <dxf>
      <font>
        <b/>
        <sz val="11"/>
        <color auto="1"/>
        <name val="Arial Narrow"/>
        <scheme val="none"/>
      </font>
      <fill>
        <patternFill patternType="solid">
          <bgColor theme="0"/>
        </patternFill>
      </fill>
      <alignment horizontal="right" vertical="center" readingOrder="0"/>
    </dxf>
  </rfmt>
  <rfmt sheetId="42" sqref="F4" start="0" length="0">
    <dxf>
      <font>
        <b/>
        <sz val="11"/>
        <color auto="1"/>
        <name val="Arial Narrow"/>
        <scheme val="none"/>
      </font>
      <fill>
        <patternFill patternType="solid">
          <bgColor theme="0"/>
        </patternFill>
      </fill>
      <alignment horizontal="right" vertical="center" readingOrder="0"/>
    </dxf>
  </rfmt>
  <rfmt sheetId="42" sqref="A5" start="0" length="0">
    <dxf>
      <font>
        <sz val="11"/>
        <color theme="1"/>
        <name val="Arial Narrow"/>
        <scheme val="none"/>
      </font>
      <fill>
        <patternFill patternType="solid">
          <bgColor theme="0"/>
        </patternFill>
      </fill>
      <alignment vertical="center" readingOrder="0"/>
    </dxf>
  </rfmt>
  <rfmt sheetId="42" sqref="B5" start="0" length="0">
    <dxf>
      <font>
        <sz val="11"/>
        <color theme="1"/>
        <name val="Arial Narrow"/>
        <scheme val="none"/>
      </font>
      <fill>
        <patternFill patternType="solid">
          <bgColor theme="0"/>
        </patternFill>
      </fill>
      <alignment vertical="center" readingOrder="0"/>
    </dxf>
  </rfmt>
  <rfmt sheetId="42" sqref="C5" start="0" length="0">
    <dxf>
      <font>
        <sz val="11"/>
        <color auto="1"/>
        <name val="Arial Narrow"/>
        <scheme val="none"/>
      </font>
      <fill>
        <patternFill patternType="solid">
          <bgColor theme="0"/>
        </patternFill>
      </fill>
      <alignment vertical="center" readingOrder="0"/>
    </dxf>
  </rfmt>
  <rfmt sheetId="42" sqref="D5" start="0" length="0">
    <dxf>
      <font>
        <sz val="11"/>
        <color auto="1"/>
        <name val="Arial Narrow"/>
        <scheme val="none"/>
      </font>
      <fill>
        <patternFill patternType="solid">
          <bgColor theme="0"/>
        </patternFill>
      </fill>
      <alignment vertical="center" readingOrder="0"/>
    </dxf>
  </rfmt>
  <rfmt sheetId="42" sqref="E5" start="0" length="0">
    <dxf>
      <font>
        <sz val="11"/>
        <color auto="1"/>
        <name val="Arial Narrow"/>
        <scheme val="none"/>
      </font>
      <fill>
        <patternFill patternType="solid">
          <bgColor theme="0"/>
        </patternFill>
      </fill>
      <alignment vertical="center" readingOrder="0"/>
    </dxf>
  </rfmt>
  <rfmt sheetId="42" sqref="F5" start="0" length="0">
    <dxf>
      <font>
        <sz val="11"/>
        <color auto="1"/>
        <name val="Arial Narrow"/>
        <scheme val="none"/>
      </font>
      <fill>
        <patternFill patternType="solid">
          <bgColor theme="0"/>
        </patternFill>
      </fill>
      <alignment vertical="center" readingOrder="0"/>
    </dxf>
  </rfmt>
  <rfmt sheetId="42" sqref="A6" start="0" length="0">
    <dxf>
      <font>
        <sz val="11"/>
        <color theme="1"/>
        <name val="Arial Narrow"/>
        <scheme val="none"/>
      </font>
      <fill>
        <patternFill patternType="solid">
          <bgColor rgb="FF92D050"/>
        </patternFill>
      </fill>
      <alignment vertical="center" readingOrder="0"/>
    </dxf>
  </rfmt>
  <rfmt sheetId="42" sqref="B6" start="0" length="0">
    <dxf>
      <font>
        <sz val="11"/>
        <color theme="1"/>
        <name val="Arial Narrow"/>
        <scheme val="none"/>
      </font>
      <fill>
        <patternFill patternType="solid">
          <bgColor rgb="FF92D050"/>
        </patternFill>
      </fill>
      <alignment vertical="center" readingOrder="0"/>
    </dxf>
  </rfmt>
  <rfmt sheetId="42" sqref="C6" start="0" length="0">
    <dxf>
      <font>
        <sz val="11"/>
        <color auto="1"/>
        <name val="Arial Narrow"/>
        <scheme val="none"/>
      </font>
      <fill>
        <patternFill patternType="solid">
          <bgColor theme="0"/>
        </patternFill>
      </fill>
      <alignment vertical="center" readingOrder="0"/>
    </dxf>
  </rfmt>
  <rfmt sheetId="42" sqref="D6" start="0" length="0">
    <dxf>
      <font>
        <b/>
        <sz val="11"/>
        <color auto="1"/>
        <name val="Arial Narrow"/>
        <scheme val="none"/>
      </font>
      <fill>
        <patternFill patternType="solid">
          <bgColor theme="5" tint="0.39997558519241921"/>
        </patternFill>
      </fill>
      <alignment horizontal="center" vertical="center" readingOrder="0"/>
    </dxf>
  </rfmt>
  <rfmt sheetId="42" sqref="E6" start="0" length="0">
    <dxf>
      <font>
        <b/>
        <sz val="11"/>
        <color auto="1"/>
        <name val="Arial Narrow"/>
        <scheme val="none"/>
      </font>
      <fill>
        <patternFill patternType="solid">
          <bgColor rgb="FFFFFF00"/>
        </patternFill>
      </fill>
      <alignment horizontal="center" vertical="center" readingOrder="0"/>
    </dxf>
  </rfmt>
  <rfmt sheetId="42" sqref="F6" start="0" length="0">
    <dxf>
      <font>
        <b/>
        <sz val="11"/>
        <color auto="1"/>
        <name val="Arial Narrow"/>
        <scheme val="none"/>
      </font>
      <fill>
        <patternFill patternType="solid">
          <bgColor rgb="FFCCFFCC"/>
        </patternFill>
      </fill>
      <alignment horizontal="center" vertical="center" readingOrder="0"/>
    </dxf>
  </rfmt>
  <rcc rId="11637" sId="42"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638" sId="42"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2" sqref="C7" start="0" length="0">
    <dxf>
      <font>
        <b/>
        <u/>
        <sz val="12"/>
        <color auto="1"/>
        <name val="Arial Narrow"/>
        <scheme val="none"/>
      </font>
      <fill>
        <patternFill patternType="solid">
          <bgColor theme="0"/>
        </patternFill>
      </fill>
      <alignment horizontal="center" vertical="center" wrapText="1" readingOrder="0"/>
    </dxf>
  </rfmt>
  <rfmt sheetId="42"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639" sId="42"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640" sId="42"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2" sqref="A8" start="0" length="0">
    <dxf>
      <font>
        <sz val="11"/>
        <color auto="1"/>
        <name val="Arial Narrow"/>
        <scheme val="none"/>
      </font>
      <alignment vertical="center" readingOrder="0"/>
    </dxf>
  </rfmt>
  <rfmt sheetId="42" sqref="B8" start="0" length="0">
    <dxf>
      <font>
        <sz val="11"/>
        <color auto="1"/>
        <name val="Arial Narrow"/>
        <scheme val="none"/>
      </font>
      <alignment vertical="center" readingOrder="0"/>
    </dxf>
  </rfmt>
  <rfmt sheetId="42" sqref="C8" start="0" length="0">
    <dxf>
      <font>
        <sz val="11"/>
        <color auto="1"/>
        <name val="Arial Narrow"/>
        <scheme val="none"/>
      </font>
      <numFmt numFmtId="2" formatCode="0.00"/>
      <fill>
        <patternFill patternType="solid">
          <bgColor theme="0"/>
        </patternFill>
      </fill>
      <alignment horizontal="center" vertical="center" readingOrder="0"/>
    </dxf>
  </rfmt>
  <rfmt sheetId="42" sqref="D8" start="0" length="0">
    <dxf>
      <font>
        <sz val="11"/>
        <color auto="1"/>
        <name val="Arial Narrow"/>
        <scheme val="none"/>
      </font>
      <numFmt numFmtId="167" formatCode="#,##0.00&quot;р.&quot;"/>
      <fill>
        <patternFill patternType="solid">
          <bgColor theme="0"/>
        </patternFill>
      </fill>
      <alignment vertical="center" readingOrder="0"/>
    </dxf>
  </rfmt>
  <rfmt sheetId="42" sqref="E8" start="0" length="0">
    <dxf>
      <font>
        <sz val="11"/>
        <color auto="1"/>
        <name val="Arial Narrow"/>
        <scheme val="none"/>
      </font>
      <numFmt numFmtId="167" formatCode="#,##0.00&quot;р.&quot;"/>
      <fill>
        <patternFill patternType="solid">
          <bgColor theme="0"/>
        </patternFill>
      </fill>
      <alignment vertical="center" readingOrder="0"/>
    </dxf>
  </rfmt>
  <rfmt sheetId="42" sqref="F8" start="0" length="0">
    <dxf>
      <font>
        <sz val="11"/>
        <color auto="1"/>
        <name val="Arial Narrow"/>
        <scheme val="none"/>
      </font>
      <numFmt numFmtId="167" formatCode="#,##0.00&quot;р.&quot;"/>
      <fill>
        <patternFill patternType="solid">
          <bgColor theme="0"/>
        </patternFill>
      </fill>
      <alignment vertical="center" readingOrder="0"/>
    </dxf>
  </rfmt>
  <rcc rId="11641" sId="42" odxf="1" dxf="1">
    <nc r="A9" t="inlineStr">
      <is>
        <t>Водосточная система Döcke STANDARD</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642" sId="42"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2" sqref="C9" start="0" length="0">
    <dxf>
      <font>
        <b/>
        <sz val="11"/>
        <color auto="1"/>
        <name val="Arial Narrow"/>
        <scheme val="none"/>
      </font>
      <numFmt numFmtId="2" formatCode="0.00"/>
      <fill>
        <patternFill patternType="solid">
          <bgColor theme="0"/>
        </patternFill>
      </fill>
      <alignment horizontal="center" vertical="center" readingOrder="0"/>
    </dxf>
  </rfmt>
  <rfmt sheetId="42"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2"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2"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1643" sId="42" odxf="1" dxf="1">
    <nc r="A10" t="inlineStr">
      <is>
        <t>Желоб водосточный 3000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44" sId="42"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0" start="0" length="0">
    <dxf>
      <font>
        <sz val="6"/>
        <color auto="1"/>
        <name val="Arial Narrow"/>
        <scheme val="none"/>
      </font>
      <numFmt numFmtId="2" formatCode="0.00"/>
      <fill>
        <patternFill patternType="solid">
          <bgColor theme="0"/>
        </patternFill>
      </fill>
      <alignment horizontal="center" vertical="center" readingOrder="0"/>
    </dxf>
  </rfmt>
  <rcc rId="11645" sId="42" odxf="1" dxf="1">
    <nc r="D10" t="inlineStr">
      <is>
        <t>259,66р.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46" sId="42" odxf="1" dxf="1">
    <nc r="E10" t="inlineStr">
      <is>
        <t>359,52р.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47" sId="42" odxf="1" dxf="1">
    <nc r="F10" t="inlineStr">
      <is>
        <t>399,47р.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48" sId="42" odxf="1" dxf="1">
    <nc r="A11" t="inlineStr">
      <is>
        <t>Желоб водосточный 3000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49" sId="42"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1" start="0" length="0">
    <dxf>
      <font>
        <sz val="6"/>
        <color auto="1"/>
        <name val="Arial Narrow"/>
        <scheme val="none"/>
      </font>
      <numFmt numFmtId="2" formatCode="0.00"/>
      <fill>
        <patternFill patternType="solid">
          <bgColor theme="0"/>
        </patternFill>
      </fill>
      <alignment horizontal="center" vertical="center" readingOrder="0"/>
    </dxf>
  </rfmt>
  <rcc rId="11650" sId="42" odxf="1" dxf="1">
    <nc r="D11" t="inlineStr">
      <is>
        <t>285,64р.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1" sId="42" odxf="1" dxf="1">
    <nc r="E11" t="inlineStr">
      <is>
        <t>395,50р.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2" sId="42" odxf="1" dxf="1">
    <nc r="F11" t="inlineStr">
      <is>
        <t>439,45р.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3" sId="42" odxf="1" dxf="1">
    <nc r="A12" t="inlineStr">
      <is>
        <t>Желоб водосточный 2000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54" sId="42" odxf="1" dxf="1">
    <nc r="B12">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2" start="0" length="0">
    <dxf>
      <font>
        <sz val="6"/>
        <color auto="1"/>
        <name val="Arial Narrow"/>
        <scheme val="none"/>
      </font>
      <numFmt numFmtId="2" formatCode="0.00"/>
      <fill>
        <patternFill patternType="solid">
          <bgColor theme="0"/>
        </patternFill>
      </fill>
      <alignment horizontal="center" vertical="center" readingOrder="0"/>
    </dxf>
  </rfmt>
  <rcc rId="11655" sId="42" odxf="1" dxf="1">
    <nc r="D12" t="inlineStr">
      <is>
        <t>173,09р.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6" sId="42" odxf="1" dxf="1">
    <nc r="E12" t="inlineStr">
      <is>
        <t>239,66р.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7" sId="42" odxf="1" dxf="1">
    <nc r="F12" t="inlineStr">
      <is>
        <t>266,29р.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8" sId="42" odxf="1" dxf="1">
    <nc r="A13" t="inlineStr">
      <is>
        <t>Желоб водосточный 2000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59" sId="42" odxf="1" dxf="1">
    <nc r="B13">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3" start="0" length="0">
    <dxf>
      <font>
        <sz val="6"/>
        <color auto="1"/>
        <name val="Arial Narrow"/>
        <scheme val="none"/>
      </font>
      <numFmt numFmtId="2" formatCode="0.00"/>
      <fill>
        <patternFill patternType="solid">
          <bgColor theme="0"/>
        </patternFill>
      </fill>
      <alignment horizontal="center" vertical="center" readingOrder="0"/>
    </dxf>
  </rfmt>
  <rcc rId="11660" sId="42" odxf="1" dxf="1">
    <nc r="D13" t="inlineStr">
      <is>
        <t>190,42р.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1" sId="42" odxf="1" dxf="1">
    <nc r="E13" t="inlineStr">
      <is>
        <t>263,66р.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2" sId="42" odxf="1" dxf="1">
    <nc r="F13" t="inlineStr">
      <is>
        <t>292,96р.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3" sId="42" odxf="1" dxf="1">
    <nc r="A14" t="inlineStr">
      <is>
        <t>Труба водосточная 3000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64" sId="42" odxf="1" dxf="1">
    <nc r="B14">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4" start="0" length="0">
    <dxf>
      <font>
        <sz val="6"/>
        <color auto="1"/>
        <name val="Arial Narrow"/>
        <scheme val="none"/>
      </font>
      <numFmt numFmtId="2" formatCode="0.00"/>
      <fill>
        <patternFill patternType="solid">
          <bgColor theme="0"/>
        </patternFill>
      </fill>
      <alignment horizontal="center" vertical="center" readingOrder="0"/>
    </dxf>
  </rfmt>
  <rcc rId="11665" sId="42" odxf="1" dxf="1">
    <nc r="D14" t="inlineStr">
      <is>
        <t>314,44р.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6" sId="42" odxf="1" dxf="1">
    <nc r="E14" t="inlineStr">
      <is>
        <t>435,38р.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7" sId="42" odxf="1" dxf="1">
    <nc r="F14" t="inlineStr">
      <is>
        <t>483,76р.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8" sId="42" odxf="1" dxf="1">
    <nc r="A15" t="inlineStr">
      <is>
        <t>Труба водосточная 3000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69" sId="42" odxf="1" dxf="1">
    <nc r="B15">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5" start="0" length="0">
    <dxf>
      <font>
        <sz val="6"/>
        <color auto="1"/>
        <name val="Arial Narrow"/>
        <scheme val="none"/>
      </font>
      <numFmt numFmtId="2" formatCode="0.00"/>
      <fill>
        <patternFill patternType="solid">
          <bgColor theme="0"/>
        </patternFill>
      </fill>
      <alignment horizontal="center" vertical="center" readingOrder="0"/>
    </dxf>
  </rfmt>
  <rcc rId="11670" sId="42" odxf="1" dxf="1">
    <nc r="D15" t="inlineStr">
      <is>
        <t>345,87р.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1" sId="42" odxf="1" dxf="1">
    <nc r="E15" t="inlineStr">
      <is>
        <t>478,89р.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2" sId="42" odxf="1" dxf="1">
    <nc r="F15" t="inlineStr">
      <is>
        <t>532,10р.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3" sId="42" odxf="1" dxf="1">
    <nc r="A16" t="inlineStr">
      <is>
        <t>Труба водосточная 2000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74" sId="42" odxf="1" dxf="1">
    <nc r="B16">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6" start="0" length="0">
    <dxf>
      <font>
        <sz val="6"/>
        <color auto="1"/>
        <name val="Arial Narrow"/>
        <scheme val="none"/>
      </font>
      <numFmt numFmtId="2" formatCode="0.00"/>
      <fill>
        <patternFill patternType="solid">
          <bgColor theme="0"/>
        </patternFill>
      </fill>
      <alignment horizontal="center" vertical="center" readingOrder="0"/>
    </dxf>
  </rfmt>
  <rcc rId="11675" sId="42" odxf="1" dxf="1">
    <nc r="D16" t="inlineStr">
      <is>
        <t>209,62р.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6" sId="42" odxf="1" dxf="1">
    <nc r="E16" t="inlineStr">
      <is>
        <t>290,24р.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7" sId="42" odxf="1" dxf="1">
    <nc r="F16" t="inlineStr">
      <is>
        <t>322,49р.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8" sId="42" odxf="1" dxf="1">
    <nc r="A17" t="inlineStr">
      <is>
        <t>Труба водосточная 2000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79" sId="42" odxf="1" dxf="1">
    <nc r="B17">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7" start="0" length="0">
    <dxf>
      <font>
        <sz val="6"/>
        <color auto="1"/>
        <name val="Arial Narrow"/>
        <scheme val="none"/>
      </font>
      <numFmt numFmtId="2" formatCode="0.00"/>
      <fill>
        <patternFill patternType="solid">
          <bgColor theme="0"/>
        </patternFill>
      </fill>
      <alignment horizontal="center" vertical="center" readingOrder="0"/>
    </dxf>
  </rfmt>
  <rcc rId="11680" sId="42" odxf="1" dxf="1">
    <nc r="D17" t="inlineStr">
      <is>
        <t>230,59р.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1" sId="42" odxf="1" dxf="1">
    <nc r="E17" t="inlineStr">
      <is>
        <t>319,28р.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2" sId="42" odxf="1" dxf="1">
    <nc r="F17" t="inlineStr">
      <is>
        <t>354,76р.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3" sId="42" odxf="1" dxf="1">
    <nc r="A18" t="inlineStr">
      <is>
        <t>Труба водосточная 1000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84" sId="42" odxf="1" dxf="1">
    <nc r="B18">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8" start="0" length="0">
    <dxf>
      <font>
        <sz val="6"/>
        <color auto="1"/>
        <name val="Arial Narrow"/>
        <scheme val="none"/>
      </font>
      <numFmt numFmtId="2" formatCode="0.00"/>
      <fill>
        <patternFill patternType="solid">
          <bgColor theme="0"/>
        </patternFill>
      </fill>
      <alignment horizontal="center" vertical="center" readingOrder="0"/>
    </dxf>
  </rfmt>
  <rcc rId="11685" sId="42" odxf="1" dxf="1">
    <nc r="D18" t="inlineStr">
      <is>
        <t>120,53р.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6" sId="42" odxf="1" dxf="1">
    <nc r="E18" t="inlineStr">
      <is>
        <t>166,89р.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7" sId="42" odxf="1" dxf="1">
    <nc r="F18" t="inlineStr">
      <is>
        <t>185,43р.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8" sId="42" odxf="1" dxf="1">
    <nc r="A19" t="inlineStr">
      <is>
        <t>Труба водосточная 1000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89" sId="42" odxf="1" dxf="1">
    <nc r="B19">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9" start="0" length="0">
    <dxf>
      <font>
        <sz val="6"/>
        <color auto="1"/>
        <name val="Arial Narrow"/>
        <scheme val="none"/>
      </font>
      <numFmt numFmtId="2" formatCode="0.00"/>
      <fill>
        <patternFill patternType="solid">
          <bgColor theme="0"/>
        </patternFill>
      </fill>
      <alignment horizontal="center" vertical="center" readingOrder="0"/>
    </dxf>
  </rfmt>
  <rcc rId="11690" sId="42" odxf="1" dxf="1">
    <nc r="D19" t="inlineStr">
      <is>
        <t>132,59р.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1" sId="42" odxf="1" dxf="1">
    <nc r="E19" t="inlineStr">
      <is>
        <t>183,58р.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2" sId="42" odxf="1" dxf="1">
    <nc r="F19" t="inlineStr">
      <is>
        <t>203,98р.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3" sId="42" odxf="1" dxf="1">
    <nc r="A20" t="inlineStr">
      <is>
        <t>Соединитель желобов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94" sId="42" odxf="1" dxf="1">
    <nc r="B20">
      <v>36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0" start="0" length="0">
    <dxf>
      <font>
        <sz val="6"/>
        <color auto="1"/>
        <name val="Arial Narrow"/>
        <scheme val="none"/>
      </font>
      <numFmt numFmtId="2" formatCode="0.00"/>
      <fill>
        <patternFill patternType="solid">
          <bgColor theme="0"/>
        </patternFill>
      </fill>
      <alignment horizontal="center" vertical="center" readingOrder="0"/>
    </dxf>
  </rfmt>
  <rcc rId="11695" sId="42" odxf="1" dxf="1">
    <nc r="D20" t="inlineStr">
      <is>
        <t>90,48р.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6" sId="42" odxf="1" dxf="1">
    <nc r="E20" t="inlineStr">
      <is>
        <t>125,28р.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7" sId="42" odxf="1" dxf="1">
    <nc r="F20" t="inlineStr">
      <is>
        <t>139,20р.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8" sId="42" odxf="1" dxf="1">
    <nc r="A21" t="inlineStr">
      <is>
        <t>Соединитель желобов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99" sId="42" odxf="1" dxf="1">
    <nc r="B21">
      <v>36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1" start="0" length="0">
    <dxf>
      <font>
        <sz val="6"/>
        <color auto="1"/>
        <name val="Arial Narrow"/>
        <scheme val="none"/>
      </font>
      <numFmt numFmtId="2" formatCode="0.00"/>
      <fill>
        <patternFill patternType="solid">
          <bgColor theme="0"/>
        </patternFill>
      </fill>
      <alignment horizontal="center" vertical="center" readingOrder="0"/>
    </dxf>
  </rfmt>
  <rcc rId="11700" sId="42" odxf="1" dxf="1">
    <nc r="D21" t="inlineStr">
      <is>
        <t>94,99р.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1" sId="42" odxf="1" dxf="1">
    <nc r="E21" t="inlineStr">
      <is>
        <t>131,53р.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2" sId="42" odxf="1" dxf="1">
    <nc r="F21" t="inlineStr">
      <is>
        <t>146,14р.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3" sId="42" odxf="1" dxf="1">
    <nc r="A22" t="inlineStr">
      <is>
        <t>Муфта соединительная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04" sId="42" odxf="1" dxf="1">
    <nc r="B22">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2" start="0" length="0">
    <dxf>
      <font>
        <sz val="6"/>
        <color auto="1"/>
        <name val="Arial Narrow"/>
        <scheme val="none"/>
      </font>
      <numFmt numFmtId="2" formatCode="0.00"/>
      <fill>
        <patternFill patternType="solid">
          <bgColor theme="0"/>
        </patternFill>
      </fill>
      <alignment horizontal="center" vertical="center" readingOrder="0"/>
    </dxf>
  </rfmt>
  <rcc rId="11705" sId="42" odxf="1" dxf="1">
    <nc r="D22" t="inlineStr">
      <is>
        <t>54,32р.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6" sId="42" odxf="1" dxf="1">
    <nc r="E22" t="inlineStr">
      <is>
        <t>75,21р.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7" sId="42" odxf="1" dxf="1">
    <nc r="F22" t="inlineStr">
      <is>
        <t>83,57р.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8" sId="42" odxf="1" dxf="1">
    <nc r="A23" t="inlineStr">
      <is>
        <t>Муфта соединительная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09" sId="42" odxf="1" dxf="1">
    <nc r="B23">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3" start="0" length="0">
    <dxf>
      <font>
        <sz val="6"/>
        <color auto="1"/>
        <name val="Arial Narrow"/>
        <scheme val="none"/>
      </font>
      <numFmt numFmtId="2" formatCode="0.00"/>
      <fill>
        <patternFill patternType="solid">
          <bgColor theme="0"/>
        </patternFill>
      </fill>
      <alignment horizontal="center" vertical="center" readingOrder="0"/>
    </dxf>
  </rfmt>
  <rcc rId="11710" sId="42" odxf="1" dxf="1">
    <nc r="D23" t="inlineStr">
      <is>
        <t>57,11р.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1" sId="42" odxf="1" dxf="1">
    <nc r="E23" t="inlineStr">
      <is>
        <t>79,07р.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2" sId="42" odxf="1" dxf="1">
    <nc r="F23" t="inlineStr">
      <is>
        <t>87,86р.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3" sId="42" odxf="1" dxf="1">
    <nc r="A24" t="inlineStr">
      <is>
        <t>Угловой элемент желоба 90° универсальный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14" sId="42" odxf="1" dxf="1">
    <nc r="B24">
      <v>11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4" start="0" length="0">
    <dxf>
      <font>
        <sz val="6"/>
        <color auto="1"/>
        <name val="Arial Narrow"/>
        <scheme val="none"/>
      </font>
      <numFmt numFmtId="2" formatCode="0.00"/>
      <fill>
        <patternFill patternType="solid">
          <bgColor theme="0"/>
        </patternFill>
      </fill>
      <alignment horizontal="center" vertical="center" readingOrder="0"/>
    </dxf>
  </rfmt>
  <rcc rId="11715" sId="42" odxf="1" dxf="1">
    <nc r="D24" t="inlineStr">
      <is>
        <t>141,08р.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6" sId="42" odxf="1" dxf="1">
    <nc r="E24" t="inlineStr">
      <is>
        <t>195,34р.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7" sId="42" odxf="1" dxf="1">
    <nc r="F24" t="inlineStr">
      <is>
        <t>217,04р.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8" sId="42" odxf="1" dxf="1">
    <nc r="A25" t="inlineStr">
      <is>
        <t>Угловой элемент желоба 90° универсальный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19" sId="42" odxf="1" dxf="1">
    <nc r="B25">
      <v>11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5" start="0" length="0">
    <dxf>
      <font>
        <sz val="6"/>
        <color auto="1"/>
        <name val="Arial Narrow"/>
        <scheme val="none"/>
      </font>
      <numFmt numFmtId="2" formatCode="0.00"/>
      <fill>
        <patternFill patternType="solid">
          <bgColor theme="0"/>
        </patternFill>
      </fill>
      <alignment horizontal="center" vertical="center" readingOrder="0"/>
    </dxf>
  </rfmt>
  <rcc rId="11720" sId="42" odxf="1" dxf="1">
    <nc r="D25" t="inlineStr">
      <is>
        <t>148,19р.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1" sId="42" odxf="1" dxf="1">
    <nc r="E25" t="inlineStr">
      <is>
        <t>205,18р.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2" sId="42" odxf="1" dxf="1">
    <nc r="F25" t="inlineStr">
      <is>
        <t>227,98р.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3" sId="42" odxf="1" dxf="1">
    <nc r="A26" t="inlineStr">
      <is>
        <t>Заглушка желоба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24" sId="42" odxf="1" dxf="1">
    <nc r="B26">
      <v>99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6" start="0" length="0">
    <dxf>
      <font>
        <sz val="6"/>
        <color auto="1"/>
        <name val="Arial Narrow"/>
        <scheme val="none"/>
      </font>
      <numFmt numFmtId="2" formatCode="0.00"/>
      <fill>
        <patternFill patternType="solid">
          <bgColor theme="0"/>
        </patternFill>
      </fill>
      <alignment horizontal="center" vertical="center" readingOrder="0"/>
    </dxf>
  </rfmt>
  <rcc rId="11725" sId="42" odxf="1" dxf="1">
    <nc r="D26" t="inlineStr">
      <is>
        <t>43,44р.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6" sId="42" odxf="1" dxf="1">
    <nc r="E26" t="inlineStr">
      <is>
        <t>60,15р.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7" sId="42" odxf="1" dxf="1">
    <nc r="F26" t="inlineStr">
      <is>
        <t>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8" sId="42" odxf="1" dxf="1">
    <nc r="A27" t="inlineStr">
      <is>
        <t>Заглушка желоба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29" sId="42" odxf="1" dxf="1">
    <nc r="B27">
      <v>99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7" start="0" length="0">
    <dxf>
      <font>
        <sz val="6"/>
        <color auto="1"/>
        <name val="Arial Narrow"/>
        <scheme val="none"/>
      </font>
      <numFmt numFmtId="2" formatCode="0.00"/>
      <fill>
        <patternFill patternType="solid">
          <bgColor theme="0"/>
        </patternFill>
      </fill>
      <alignment horizontal="center" vertical="center" readingOrder="0"/>
    </dxf>
  </rfmt>
  <rcc rId="11730" sId="42" odxf="1" dxf="1">
    <nc r="D27" t="inlineStr">
      <is>
        <t>45,62р.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1" sId="42" odxf="1" dxf="1">
    <nc r="E27" t="inlineStr">
      <is>
        <t>63,17р.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2" sId="42" odxf="1" dxf="1">
    <nc r="F27" t="inlineStr">
      <is>
        <t>70,18р.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3" sId="42" odxf="1" dxf="1">
    <nc r="A28" t="inlineStr">
      <is>
        <t>Кронштейн желоба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34" sId="42" odxf="1" dxf="1">
    <nc r="B28">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8" start="0" length="0">
    <dxf>
      <font>
        <sz val="6"/>
        <color auto="1"/>
        <name val="Arial Narrow"/>
        <scheme val="none"/>
      </font>
      <numFmt numFmtId="2" formatCode="0.00"/>
      <fill>
        <patternFill patternType="solid">
          <bgColor theme="0"/>
        </patternFill>
      </fill>
      <alignment horizontal="center" vertical="center" readingOrder="0"/>
    </dxf>
  </rfmt>
  <rcc rId="11735" sId="42" odxf="1" dxf="1">
    <nc r="D28" t="inlineStr">
      <is>
        <t>29,57р.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6" sId="42" odxf="1" dxf="1">
    <nc r="E28" t="inlineStr">
      <is>
        <t>40,94р.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7" sId="42" odxf="1" dxf="1">
    <nc r="F28" t="inlineStr">
      <is>
        <t>45,49р.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8" sId="42" odxf="1" dxf="1">
    <nc r="A29" t="inlineStr">
      <is>
        <t>Кронштейн желоба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39" sId="42" odxf="1" dxf="1">
    <nc r="B29">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9" start="0" length="0">
    <dxf>
      <font>
        <sz val="6"/>
        <color auto="1"/>
        <name val="Arial Narrow"/>
        <scheme val="none"/>
      </font>
      <numFmt numFmtId="2" formatCode="0.00"/>
      <fill>
        <patternFill patternType="solid">
          <bgColor theme="0"/>
        </patternFill>
      </fill>
      <alignment horizontal="center" vertical="center" readingOrder="0"/>
    </dxf>
  </rfmt>
  <rcc rId="11740" sId="42" odxf="1" dxf="1">
    <nc r="D29" t="inlineStr">
      <is>
        <t>31,05р.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1" sId="42" odxf="1" dxf="1">
    <nc r="E29" t="inlineStr">
      <is>
        <t>43,00р.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2" sId="42" odxf="1" dxf="1">
    <nc r="F29" t="inlineStr">
      <is>
        <t>47,78р.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3" sId="42" odxf="1" dxf="1">
    <nc r="A30" t="inlineStr">
      <is>
        <t>Воронка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44" sId="42" odxf="1" dxf="1">
    <nc r="B30">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0" start="0" length="0">
    <dxf>
      <font>
        <sz val="6"/>
        <color auto="1"/>
        <name val="Arial Narrow"/>
        <scheme val="none"/>
      </font>
      <numFmt numFmtId="2" formatCode="0.00"/>
      <fill>
        <patternFill patternType="solid">
          <bgColor theme="0"/>
        </patternFill>
      </fill>
      <alignment horizontal="center" vertical="center" readingOrder="0"/>
    </dxf>
  </rfmt>
  <rcc rId="11745" sId="42" odxf="1" dxf="1">
    <nc r="D30" t="inlineStr">
      <is>
        <t>163,71р.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6" sId="42" odxf="1" dxf="1">
    <nc r="E30" t="inlineStr">
      <is>
        <t>226,67р.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7" sId="42" odxf="1" dxf="1">
    <nc r="F30" t="inlineStr">
      <is>
        <t>251,86р.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8" sId="42" odxf="1" dxf="1">
    <nc r="A31" t="inlineStr">
      <is>
        <t>Воронка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49" sId="42" odxf="1" dxf="1">
    <nc r="B31">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1" start="0" length="0">
    <dxf>
      <font>
        <sz val="6"/>
        <color auto="1"/>
        <name val="Arial Narrow"/>
        <scheme val="none"/>
      </font>
      <numFmt numFmtId="2" formatCode="0.00"/>
      <fill>
        <patternFill patternType="solid">
          <bgColor theme="0"/>
        </patternFill>
      </fill>
      <alignment horizontal="center" vertical="center" readingOrder="0"/>
    </dxf>
  </rfmt>
  <rcc rId="11750" sId="42" odxf="1" dxf="1">
    <nc r="D31" t="inlineStr">
      <is>
        <t>171,91р.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1" sId="42" odxf="1" dxf="1">
    <nc r="E31" t="inlineStr">
      <is>
        <t>238,02р.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2" sId="42" odxf="1" dxf="1">
    <nc r="F31" t="inlineStr">
      <is>
        <t>264,47р.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3" sId="42" odxf="1" dxf="1">
    <nc r="A32" t="inlineStr">
      <is>
        <t>Колено 45°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54" sId="42" odxf="1" dxf="1">
    <nc r="B32">
      <v>24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2" start="0" length="0">
    <dxf>
      <font>
        <sz val="6"/>
        <color auto="1"/>
        <name val="Arial Narrow"/>
        <scheme val="none"/>
      </font>
      <numFmt numFmtId="2" formatCode="0.00"/>
      <fill>
        <patternFill patternType="solid">
          <bgColor theme="0"/>
        </patternFill>
      </fill>
      <alignment horizontal="center" vertical="center" readingOrder="0"/>
    </dxf>
  </rfmt>
  <rcc rId="11755" sId="42" odxf="1" dxf="1">
    <nc r="D32" t="inlineStr">
      <is>
        <t>101,74р.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6" sId="42" odxf="1" dxf="1">
    <nc r="E32" t="inlineStr">
      <is>
        <t>140,88р.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7" sId="42" odxf="1" dxf="1">
    <nc r="F32" t="inlineStr">
      <is>
        <t>156,53р.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8" sId="42" odxf="1" dxf="1">
    <nc r="A33" t="inlineStr">
      <is>
        <t>Колено 45°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59" sId="42" odxf="1" dxf="1">
    <nc r="B33">
      <v>24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3" start="0" length="0">
    <dxf>
      <font>
        <sz val="6"/>
        <color auto="1"/>
        <name val="Arial Narrow"/>
        <scheme val="none"/>
      </font>
      <numFmt numFmtId="2" formatCode="0.00"/>
      <fill>
        <patternFill patternType="solid">
          <bgColor theme="0"/>
        </patternFill>
      </fill>
      <alignment horizontal="center" vertical="center" readingOrder="0"/>
    </dxf>
  </rfmt>
  <rcc rId="11760" sId="42" odxf="1" dxf="1">
    <nc r="D33" t="inlineStr">
      <is>
        <t>106,84р.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1" sId="42" odxf="1" dxf="1">
    <nc r="E33" t="inlineStr">
      <is>
        <t>147,93р.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2" sId="42" odxf="1" dxf="1">
    <nc r="F33" t="inlineStr">
      <is>
        <t>164,37р.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3" sId="42" odxf="1" dxf="1">
    <nc r="A34" t="inlineStr">
      <is>
        <t>Хомут универсальный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64" sId="42" odxf="1" dxf="1">
    <nc r="B34">
      <v>180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4" start="0" length="0">
    <dxf>
      <font>
        <sz val="6"/>
        <color auto="1"/>
        <name val="Arial Narrow"/>
        <scheme val="none"/>
      </font>
      <numFmt numFmtId="2" formatCode="0.00"/>
      <fill>
        <patternFill patternType="solid">
          <bgColor theme="0"/>
        </patternFill>
      </fill>
      <alignment horizontal="center" vertical="center" readingOrder="0"/>
    </dxf>
  </rfmt>
  <rcc rId="11765" sId="42" odxf="1" dxf="1">
    <nc r="D34" t="inlineStr">
      <is>
        <t>40,84р.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6" sId="42" odxf="1" dxf="1">
    <nc r="E34" t="inlineStr">
      <is>
        <t>56,55р.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7" sId="42" odxf="1" dxf="1">
    <nc r="F34" t="inlineStr">
      <is>
        <t>62,84р.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8" sId="42" odxf="1" dxf="1">
    <nc r="A35" t="inlineStr">
      <is>
        <t>Хомут универсальный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69" sId="42" odxf="1" dxf="1">
    <nc r="B35">
      <v>180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5" start="0" length="0">
    <dxf>
      <font>
        <sz val="6"/>
        <color auto="1"/>
        <name val="Arial Narrow"/>
        <scheme val="none"/>
      </font>
      <numFmt numFmtId="2" formatCode="0.00"/>
      <fill>
        <patternFill patternType="solid">
          <bgColor theme="0"/>
        </patternFill>
      </fill>
      <alignment horizontal="center" vertical="center" readingOrder="0"/>
    </dxf>
  </rfmt>
  <rcc rId="11770" sId="42" odxf="1" dxf="1">
    <nc r="D35" t="inlineStr">
      <is>
        <t>42,89р.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1" sId="42" odxf="1" dxf="1">
    <nc r="E35" t="inlineStr">
      <is>
        <t>59,38р.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2" sId="42" odxf="1" dxf="1">
    <nc r="F35" t="inlineStr">
      <is>
        <t>65,98р.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3" sId="42" odxf="1" dxf="1">
    <nc r="A36" t="inlineStr">
      <is>
        <t>Наконечник Белый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74" sId="42" odxf="1" dxf="1">
    <nc r="B36">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6" start="0" length="0">
    <dxf>
      <font>
        <sz val="6"/>
        <color auto="1"/>
        <name val="Arial Narrow"/>
        <scheme val="none"/>
      </font>
      <numFmt numFmtId="2" formatCode="0.00"/>
      <fill>
        <patternFill patternType="solid">
          <bgColor theme="0"/>
        </patternFill>
      </fill>
      <alignment horizontal="center" vertical="center" readingOrder="0"/>
    </dxf>
  </rfmt>
  <rcc rId="11775" sId="42" odxf="1" dxf="1">
    <nc r="D36" t="inlineStr">
      <is>
        <t>96,58р.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6" sId="42" odxf="1" dxf="1">
    <nc r="E36" t="inlineStr">
      <is>
        <t>133,73р.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7" sId="42" odxf="1" dxf="1">
    <nc r="F36" t="inlineStr">
      <is>
        <t>148,59р.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8" sId="42" odxf="1" dxf="1">
    <nc r="A37" t="inlineStr">
      <is>
        <t>Наконечник Красный, Зеленый, Темно-коричневый, Светло-коричневый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79" sId="42" odxf="1" dxf="1">
    <nc r="B37">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7" start="0" length="0">
    <dxf>
      <font>
        <sz val="6"/>
        <color auto="1"/>
        <name val="Arial Narrow"/>
        <scheme val="none"/>
      </font>
      <numFmt numFmtId="2" formatCode="0.00"/>
      <fill>
        <patternFill patternType="solid">
          <bgColor theme="0"/>
        </patternFill>
      </fill>
      <alignment horizontal="center" vertical="center" readingOrder="0"/>
    </dxf>
  </rfmt>
  <rcc rId="11780" sId="42" odxf="1" dxf="1">
    <nc r="D37" t="inlineStr">
      <is>
        <t>101,41р.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1" sId="42" odxf="1" dxf="1">
    <nc r="E37" t="inlineStr">
      <is>
        <t>140,42р.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2" sId="42" odxf="1" dxf="1">
    <nc r="F37" t="inlineStr">
      <is>
        <t>156,02р.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3" sId="42" odxf="1" dxf="1">
    <nc r="A38" t="inlineStr">
      <is>
        <t>Кронштейн желоба металлический 120 мм * 300 мм Белый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84" sId="42" odxf="1" dxf="1">
    <nc r="B38">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8" start="0" length="0">
    <dxf>
      <font>
        <sz val="6"/>
        <color auto="1"/>
        <name val="Arial Narrow"/>
        <scheme val="none"/>
      </font>
      <numFmt numFmtId="2" formatCode="0.00"/>
      <fill>
        <patternFill patternType="solid">
          <bgColor theme="0"/>
        </patternFill>
      </fill>
      <alignment horizontal="center" vertical="center" readingOrder="0"/>
    </dxf>
  </rfmt>
  <rcc rId="11785" sId="42" odxf="1" dxf="1">
    <nc r="D38" t="inlineStr">
      <is>
        <t>94,62р.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6" sId="42" odxf="1" dxf="1">
    <nc r="E38" t="inlineStr">
      <is>
        <t>131,01р.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7" sId="42" odxf="1" dxf="1">
    <nc r="F38" t="inlineStr">
      <is>
        <t>145,57р.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8" sId="42" odxf="1" dxf="1">
    <nc r="A39" t="inlineStr">
      <is>
        <t>Кронштейн желоба металлический 300 мм Красный, Зеленый, Темно-коричневый, Светло-коричневый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89" sId="42" odxf="1" dxf="1">
    <nc r="B39">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9" start="0" length="0">
    <dxf>
      <font>
        <sz val="6"/>
        <color auto="1"/>
        <name val="Arial Narrow"/>
        <scheme val="none"/>
      </font>
      <numFmt numFmtId="2" formatCode="0.00"/>
      <fill>
        <patternFill patternType="solid">
          <bgColor theme="0"/>
        </patternFill>
      </fill>
      <alignment horizontal="center" vertical="center" readingOrder="0"/>
    </dxf>
  </rfmt>
  <rcc rId="11790" sId="42" odxf="1" dxf="1">
    <nc r="D39" t="inlineStr">
      <is>
        <t>94,62р.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91" sId="42" odxf="1" dxf="1">
    <nc r="E39" t="inlineStr">
      <is>
        <t>131,01р.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92" sId="42" odxf="1" dxf="1">
    <nc r="F39" t="inlineStr">
      <is>
        <t>145,57р.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42" sqref="A40" start="0" length="0">
    <dxf>
      <font>
        <sz val="11"/>
        <color theme="1"/>
        <name val="Arial Narrow"/>
        <scheme val="none"/>
      </font>
      <fill>
        <patternFill patternType="solid">
          <bgColor theme="0"/>
        </patternFill>
      </fill>
      <alignment vertical="center" readingOrder="0"/>
    </dxf>
  </rfmt>
  <rfmt sheetId="42" sqref="B40" start="0" length="0">
    <dxf>
      <font>
        <sz val="11"/>
        <color theme="1"/>
        <name val="Arial Narrow"/>
        <scheme val="none"/>
      </font>
      <fill>
        <patternFill patternType="solid">
          <bgColor theme="0"/>
        </patternFill>
      </fill>
      <alignment vertical="center" readingOrder="0"/>
    </dxf>
  </rfmt>
  <rfmt sheetId="42" sqref="C40" start="0" length="0">
    <dxf>
      <font>
        <sz val="11"/>
        <color auto="1"/>
        <name val="Arial Narrow"/>
        <scheme val="none"/>
      </font>
      <fill>
        <patternFill patternType="solid">
          <bgColor theme="0"/>
        </patternFill>
      </fill>
      <alignment vertical="center" readingOrder="0"/>
    </dxf>
  </rfmt>
  <rfmt sheetId="42" sqref="D40" start="0" length="0">
    <dxf>
      <font>
        <sz val="11"/>
        <color auto="1"/>
        <name val="Arial Narrow"/>
        <scheme val="none"/>
      </font>
      <numFmt numFmtId="13" formatCode="0%"/>
      <fill>
        <patternFill patternType="solid">
          <bgColor theme="9" tint="0.79998168889431442"/>
        </patternFill>
      </fill>
      <alignment vertical="center" readingOrder="0"/>
    </dxf>
  </rfmt>
  <rfmt sheetId="42" sqref="E40" start="0" length="0">
    <dxf>
      <font>
        <b/>
        <sz val="11"/>
        <color auto="1"/>
        <name val="Arial Narrow"/>
        <scheme val="none"/>
      </font>
      <fill>
        <patternFill patternType="solid">
          <bgColor theme="0"/>
        </patternFill>
      </fill>
      <alignment vertical="center" readingOrder="0"/>
    </dxf>
  </rfmt>
  <rcc rId="11793" sId="42" odxf="1" dxf="1">
    <nc r="F40"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rc rId="11794" sId="42" ref="A3:XFD3" action="deleteRow">
    <rfmt sheetId="42" xfDxf="1" sqref="A3:XFD3" start="0" length="0"/>
  </rrc>
  <rcc rId="11795" sId="42"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8"/>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2" sqref="B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C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D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E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F1" start="0" length="0">
    <dxf>
      <font>
        <sz val="18"/>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2" sqref="A1:F1" start="0" length="2147483647">
    <dxf>
      <font>
        <sz val="22"/>
      </font>
    </dxf>
  </rfmt>
  <rrc rId="11796" sId="42" ref="A4:XFD4" action="deleteRow">
    <rfmt sheetId="42" xfDxf="1" sqref="A4:XFD4" start="0" length="0"/>
    <rfmt sheetId="42" sqref="A4" start="0" length="0">
      <dxf>
        <font>
          <sz val="11"/>
          <color theme="1"/>
          <name val="Arial Narrow"/>
          <scheme val="none"/>
        </font>
        <fill>
          <patternFill patternType="solid">
            <bgColor theme="0"/>
          </patternFill>
        </fill>
        <alignment vertical="center" readingOrder="0"/>
      </dxf>
    </rfmt>
    <rfmt sheetId="42" sqref="B4" start="0" length="0">
      <dxf>
        <font>
          <sz val="11"/>
          <color theme="1"/>
          <name val="Arial Narrow"/>
          <scheme val="none"/>
        </font>
        <fill>
          <patternFill patternType="solid">
            <bgColor theme="0"/>
          </patternFill>
        </fill>
        <alignment vertical="center" readingOrder="0"/>
      </dxf>
    </rfmt>
    <rfmt sheetId="42" sqref="C4" start="0" length="0">
      <dxf>
        <font>
          <sz val="11"/>
          <color auto="1"/>
          <name val="Arial Narrow"/>
          <scheme val="none"/>
        </font>
        <fill>
          <patternFill patternType="solid">
            <bgColor theme="0"/>
          </patternFill>
        </fill>
        <alignment vertical="center" readingOrder="0"/>
      </dxf>
    </rfmt>
    <rfmt sheetId="42" sqref="D4" start="0" length="0">
      <dxf>
        <font>
          <sz val="11"/>
          <color auto="1"/>
          <name val="Arial Narrow"/>
          <scheme val="none"/>
        </font>
        <fill>
          <patternFill patternType="solid">
            <bgColor theme="0"/>
          </patternFill>
        </fill>
        <alignment vertical="center" readingOrder="0"/>
      </dxf>
    </rfmt>
    <rfmt sheetId="42" sqref="E4" start="0" length="0">
      <dxf>
        <font>
          <sz val="11"/>
          <color auto="1"/>
          <name val="Arial Narrow"/>
          <scheme val="none"/>
        </font>
        <fill>
          <patternFill patternType="solid">
            <bgColor theme="0"/>
          </patternFill>
        </fill>
        <alignment vertical="center" readingOrder="0"/>
      </dxf>
    </rfmt>
    <rfmt sheetId="42" sqref="F4" start="0" length="0">
      <dxf>
        <font>
          <sz val="11"/>
          <color auto="1"/>
          <name val="Arial Narrow"/>
          <scheme val="none"/>
        </font>
        <fill>
          <patternFill patternType="solid">
            <bgColor theme="0"/>
          </patternFill>
        </fill>
        <alignment vertical="center" readingOrder="0"/>
      </dxf>
    </rfmt>
  </rrc>
  <rrc rId="11797" sId="42" ref="A2:XFD2" action="deleteRow">
    <rfmt sheetId="42" xfDxf="1" sqref="A2:XFD2" start="0" length="0"/>
  </rrc>
  <ris rId="11798" sheetId="43" name="[ПРАЙС ЦЕНТР-ТИМ 2019 обновленный.xlsx]Фасадные Панели ДЕКЕ (новый)" sheetPosition="42"/>
  <rcc rId="11799" sId="43" odxf="1" dxf="1">
    <nc r="A4" t="inlineStr">
      <is>
        <t xml:space="preserve">Фасадные панели DÖCKE.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3" sqref="B4" start="0" length="0">
    <dxf>
      <font>
        <b/>
        <sz val="11"/>
        <color theme="1"/>
        <name val="Arial Narrow"/>
        <scheme val="none"/>
      </font>
      <fill>
        <patternFill patternType="solid">
          <bgColor theme="0"/>
        </patternFill>
      </fill>
      <alignment vertical="center" readingOrder="0"/>
    </dxf>
  </rfmt>
  <rfmt sheetId="43" sqref="C4" start="0" length="0">
    <dxf>
      <font>
        <sz val="11"/>
        <color auto="1"/>
        <name val="Arial Narrow"/>
        <scheme val="none"/>
      </font>
      <fill>
        <patternFill patternType="solid">
          <bgColor theme="0"/>
        </patternFill>
      </fill>
      <alignment vertical="center" readingOrder="0"/>
    </dxf>
  </rfmt>
  <rfmt sheetId="43" sqref="D4" start="0" length="0">
    <dxf>
      <font>
        <b/>
        <sz val="11"/>
        <color auto="1"/>
        <name val="Arial Narrow"/>
        <scheme val="none"/>
      </font>
      <fill>
        <patternFill patternType="solid">
          <bgColor theme="0"/>
        </patternFill>
      </fill>
      <alignment horizontal="right" vertical="center" readingOrder="0"/>
    </dxf>
  </rfmt>
  <rfmt sheetId="43" sqref="E4" start="0" length="0">
    <dxf>
      <font>
        <b/>
        <sz val="11"/>
        <color auto="1"/>
        <name val="Arial Narrow"/>
        <scheme val="none"/>
      </font>
      <fill>
        <patternFill patternType="solid">
          <bgColor theme="0"/>
        </patternFill>
      </fill>
      <alignment horizontal="right" vertical="center" readingOrder="0"/>
    </dxf>
  </rfmt>
  <rfmt sheetId="43" sqref="F4" start="0" length="0">
    <dxf>
      <font>
        <b/>
        <sz val="11"/>
        <color auto="1"/>
        <name val="Arial Narrow"/>
        <scheme val="none"/>
      </font>
      <fill>
        <patternFill patternType="solid">
          <bgColor theme="0"/>
        </patternFill>
      </fill>
      <alignment horizontal="right" vertical="center" readingOrder="0"/>
    </dxf>
  </rfmt>
  <rfmt sheetId="43" sqref="G4" start="0" length="0">
    <dxf>
      <font>
        <b/>
        <sz val="16"/>
        <color auto="1"/>
        <name val="Arial Narrow"/>
        <scheme val="none"/>
      </font>
      <fill>
        <patternFill patternType="solid">
          <bgColor theme="0"/>
        </patternFill>
      </fill>
      <alignment vertical="center" readingOrder="0"/>
    </dxf>
  </rfmt>
  <rfmt sheetId="43" sqref="A5" start="0" length="0">
    <dxf>
      <font>
        <sz val="11"/>
        <color theme="1"/>
        <name val="Arial Narrow"/>
        <scheme val="none"/>
      </font>
      <fill>
        <patternFill patternType="solid">
          <bgColor theme="0"/>
        </patternFill>
      </fill>
      <alignment vertical="center" readingOrder="0"/>
    </dxf>
  </rfmt>
  <rfmt sheetId="43" sqref="B5" start="0" length="0">
    <dxf>
      <font>
        <sz val="11"/>
        <color theme="1"/>
        <name val="Arial Narrow"/>
        <scheme val="none"/>
      </font>
      <fill>
        <patternFill patternType="solid">
          <bgColor theme="0"/>
        </patternFill>
      </fill>
      <alignment vertical="center" readingOrder="0"/>
    </dxf>
  </rfmt>
  <rfmt sheetId="43" sqref="C5" start="0" length="0">
    <dxf>
      <font>
        <sz val="11"/>
        <color auto="1"/>
        <name val="Arial Narrow"/>
        <scheme val="none"/>
      </font>
      <fill>
        <patternFill patternType="solid">
          <bgColor theme="0"/>
        </patternFill>
      </fill>
      <alignment vertical="center" readingOrder="0"/>
    </dxf>
  </rfmt>
  <rfmt sheetId="43" sqref="D5" start="0" length="0">
    <dxf>
      <font>
        <sz val="11"/>
        <color auto="1"/>
        <name val="Arial Narrow"/>
        <scheme val="none"/>
      </font>
      <fill>
        <patternFill patternType="solid">
          <bgColor theme="0"/>
        </patternFill>
      </fill>
      <alignment vertical="center" readingOrder="0"/>
    </dxf>
  </rfmt>
  <rfmt sheetId="43" sqref="E5" start="0" length="0">
    <dxf>
      <font>
        <sz val="11"/>
        <color auto="1"/>
        <name val="Arial Narrow"/>
        <scheme val="none"/>
      </font>
      <fill>
        <patternFill patternType="solid">
          <bgColor theme="0"/>
        </patternFill>
      </fill>
      <alignment vertical="center" readingOrder="0"/>
    </dxf>
  </rfmt>
  <rfmt sheetId="43" sqref="F5" start="0" length="0">
    <dxf>
      <font>
        <sz val="11"/>
        <color auto="1"/>
        <name val="Arial Narrow"/>
        <scheme val="none"/>
      </font>
      <fill>
        <patternFill patternType="solid">
          <bgColor theme="0"/>
        </patternFill>
      </fill>
      <alignment vertical="center" readingOrder="0"/>
    </dxf>
  </rfmt>
  <rfmt sheetId="43" sqref="G5" start="0" length="0">
    <dxf>
      <font>
        <sz val="11"/>
        <color theme="1"/>
        <name val="Arial Narrow"/>
        <scheme val="none"/>
      </font>
      <fill>
        <patternFill patternType="solid">
          <bgColor theme="0"/>
        </patternFill>
      </fill>
      <alignment vertical="center" readingOrder="0"/>
    </dxf>
  </rfmt>
  <rfmt sheetId="43" sqref="A6" start="0" length="0">
    <dxf>
      <font>
        <sz val="11"/>
        <color theme="1"/>
        <name val="Arial Narrow"/>
        <scheme val="none"/>
      </font>
      <fill>
        <patternFill patternType="solid">
          <bgColor rgb="FF92D050"/>
        </patternFill>
      </fill>
      <alignment vertical="center" readingOrder="0"/>
    </dxf>
  </rfmt>
  <rfmt sheetId="43" sqref="B6" start="0" length="0">
    <dxf>
      <font>
        <sz val="11"/>
        <color theme="1"/>
        <name val="Arial Narrow"/>
        <scheme val="none"/>
      </font>
      <fill>
        <patternFill patternType="solid">
          <bgColor rgb="FF92D050"/>
        </patternFill>
      </fill>
      <alignment vertical="center" readingOrder="0"/>
    </dxf>
  </rfmt>
  <rfmt sheetId="43" sqref="C6" start="0" length="0">
    <dxf>
      <font>
        <sz val="11"/>
        <color auto="1"/>
        <name val="Arial Narrow"/>
        <scheme val="none"/>
      </font>
      <fill>
        <patternFill patternType="solid">
          <bgColor theme="0"/>
        </patternFill>
      </fill>
      <alignment vertical="center" readingOrder="0"/>
    </dxf>
  </rfmt>
  <rfmt sheetId="43" sqref="D6" start="0" length="0">
    <dxf>
      <font>
        <b/>
        <sz val="11"/>
        <color auto="1"/>
        <name val="Arial Narrow"/>
        <scheme val="none"/>
      </font>
      <fill>
        <patternFill patternType="solid">
          <bgColor theme="5" tint="0.39997558519241921"/>
        </patternFill>
      </fill>
      <alignment horizontal="center" vertical="center" readingOrder="0"/>
    </dxf>
  </rfmt>
  <rfmt sheetId="43" sqref="E6" start="0" length="0">
    <dxf>
      <font>
        <b/>
        <sz val="11"/>
        <color auto="1"/>
        <name val="Arial Narrow"/>
        <scheme val="none"/>
      </font>
      <fill>
        <patternFill patternType="solid">
          <bgColor rgb="FFFFFF00"/>
        </patternFill>
      </fill>
      <alignment horizontal="center" vertical="center" readingOrder="0"/>
    </dxf>
  </rfmt>
  <rfmt sheetId="43" sqref="F6" start="0" length="0">
    <dxf>
      <font>
        <b/>
        <sz val="11"/>
        <color auto="1"/>
        <name val="Arial Narrow"/>
        <scheme val="none"/>
      </font>
      <fill>
        <patternFill patternType="solid">
          <bgColor rgb="FFCCFFCC"/>
        </patternFill>
      </fill>
      <alignment horizontal="center" vertical="center" readingOrder="0"/>
    </dxf>
  </rfmt>
  <rfmt sheetId="43" sqref="G6" start="0" length="0">
    <dxf>
      <font>
        <sz val="11"/>
        <color theme="1"/>
        <name val="Arial Narrow"/>
        <scheme val="none"/>
      </font>
      <fill>
        <patternFill patternType="solid">
          <bgColor theme="0"/>
        </patternFill>
      </fill>
      <alignment vertical="center" readingOrder="0"/>
    </dxf>
  </rfmt>
  <rcc rId="11800" sId="43"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801" sId="43"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3" sqref="C7" start="0" length="0">
    <dxf>
      <font>
        <b/>
        <u/>
        <sz val="12"/>
        <color auto="1"/>
        <name val="Arial Narrow"/>
        <scheme val="none"/>
      </font>
      <fill>
        <patternFill patternType="solid">
          <bgColor theme="0"/>
        </patternFill>
      </fill>
      <alignment horizontal="center" vertical="center" wrapText="1" readingOrder="0"/>
    </dxf>
  </rfmt>
  <rfmt sheetId="43"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802" sId="43"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03" sId="43"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3" sqref="G7" start="0" length="0">
    <dxf>
      <font>
        <sz val="9"/>
        <color theme="1"/>
        <name val="Arial Narrow"/>
        <scheme val="none"/>
      </font>
      <fill>
        <patternFill patternType="solid">
          <bgColor theme="0"/>
        </patternFill>
      </fill>
      <alignment horizontal="center" vertical="center" readingOrder="0"/>
    </dxf>
  </rfmt>
  <rfmt sheetId="43" sqref="A8" start="0" length="0">
    <dxf>
      <font>
        <sz val="11"/>
        <color auto="1"/>
        <name val="Arial Narrow"/>
        <scheme val="none"/>
      </font>
      <alignment vertical="center" readingOrder="0"/>
    </dxf>
  </rfmt>
  <rfmt sheetId="43" sqref="B8" start="0" length="0">
    <dxf>
      <font>
        <sz val="11"/>
        <color auto="1"/>
        <name val="Arial Narrow"/>
        <scheme val="none"/>
      </font>
      <alignment vertical="center" readingOrder="0"/>
    </dxf>
  </rfmt>
  <rfmt sheetId="43" sqref="C8" start="0" length="0">
    <dxf>
      <font>
        <sz val="11"/>
        <color auto="1"/>
        <name val="Arial Narrow"/>
        <scheme val="none"/>
      </font>
      <numFmt numFmtId="2" formatCode="0.00"/>
      <fill>
        <patternFill patternType="solid">
          <bgColor theme="0"/>
        </patternFill>
      </fill>
      <alignment horizontal="center" vertical="center" readingOrder="0"/>
    </dxf>
  </rfmt>
  <rfmt sheetId="43" sqref="D8" start="0" length="0">
    <dxf>
      <font>
        <sz val="11"/>
        <color auto="1"/>
        <name val="Arial Narrow"/>
        <scheme val="none"/>
      </font>
      <numFmt numFmtId="167" formatCode="#,##0.00&quot;р.&quot;"/>
      <fill>
        <patternFill patternType="solid">
          <bgColor theme="0"/>
        </patternFill>
      </fill>
      <alignment vertical="center" readingOrder="0"/>
    </dxf>
  </rfmt>
  <rfmt sheetId="43" sqref="E8" start="0" length="0">
    <dxf>
      <font>
        <sz val="11"/>
        <color auto="1"/>
        <name val="Arial Narrow"/>
        <scheme val="none"/>
      </font>
      <numFmt numFmtId="167" formatCode="#,##0.00&quot;р.&quot;"/>
      <fill>
        <patternFill patternType="solid">
          <bgColor theme="0"/>
        </patternFill>
      </fill>
      <alignment vertical="center" readingOrder="0"/>
    </dxf>
  </rfmt>
  <rfmt sheetId="43" sqref="F8" start="0" length="0">
    <dxf>
      <font>
        <sz val="11"/>
        <color auto="1"/>
        <name val="Arial Narrow"/>
        <scheme val="none"/>
      </font>
      <numFmt numFmtId="167" formatCode="#,##0.00&quot;р.&quot;"/>
      <fill>
        <patternFill patternType="solid">
          <bgColor theme="0"/>
        </patternFill>
      </fill>
      <alignment vertical="center" readingOrder="0"/>
    </dxf>
  </rfmt>
  <rfmt sheetId="43" sqref="G8" start="0" length="0">
    <dxf>
      <font>
        <sz val="11"/>
        <color theme="1"/>
        <name val="Arial Narrow"/>
        <scheme val="none"/>
      </font>
      <fill>
        <patternFill patternType="solid">
          <bgColor theme="0"/>
        </patternFill>
      </fill>
      <alignment vertical="center" readingOrder="0"/>
    </dxf>
  </rfmt>
  <rcc rId="11804" sId="43" odxf="1" dxf="1">
    <nc r="A9" t="inlineStr">
      <is>
        <t>Фасадные панели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805" sId="43"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9" start="0" length="0">
    <dxf>
      <font>
        <b/>
        <sz val="11"/>
        <color auto="1"/>
        <name val="Arial Narrow"/>
        <scheme val="none"/>
      </font>
      <numFmt numFmtId="2" formatCode="0.00"/>
      <fill>
        <patternFill patternType="solid">
          <bgColor theme="0"/>
        </patternFill>
      </fill>
      <alignment horizontal="center" vertical="center" readingOrder="0"/>
    </dxf>
  </rfmt>
  <rfmt sheetId="43"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9" start="0" length="0">
    <dxf>
      <font>
        <b/>
        <sz val="11"/>
        <color theme="1"/>
        <name val="Arial Narrow"/>
        <scheme val="none"/>
      </font>
      <fill>
        <patternFill patternType="solid">
          <bgColor theme="0"/>
        </patternFill>
      </fill>
      <alignment vertical="center" readingOrder="0"/>
    </dxf>
  </rfmt>
  <rcc rId="11806" sId="43" odxf="1" dxf="1">
    <nc r="A10" t="inlineStr">
      <is>
        <t>Панель EDEL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07" sId="43"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0" start="0" length="0">
    <dxf>
      <font>
        <sz val="6"/>
        <color rgb="FFFF0000"/>
        <name val="Arial Narrow"/>
        <scheme val="none"/>
      </font>
      <numFmt numFmtId="2" formatCode="0.00"/>
      <fill>
        <patternFill patternType="solid">
          <bgColor theme="0"/>
        </patternFill>
      </fill>
      <alignment horizontal="center" vertical="center" readingOrder="0"/>
    </dxf>
  </rfmt>
  <rcc rId="11808" sId="43" odxf="1" dxf="1">
    <nc r="D10" t="inlineStr">
      <is>
        <t>337,71р.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09" sId="43" odxf="1" dxf="1">
    <nc r="E10" t="inlineStr">
      <is>
        <t>373,05р.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0" sId="43" odxf="1" dxf="1">
    <nc r="F10" t="inlineStr">
      <is>
        <t>392,68р.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0" start="0" length="0">
    <dxf>
      <font>
        <sz val="8"/>
        <color rgb="FF0000FF"/>
        <name val="Arial Narrow"/>
        <scheme val="none"/>
      </font>
      <fill>
        <patternFill patternType="solid">
          <bgColor theme="0"/>
        </patternFill>
      </fill>
      <alignment vertical="center" readingOrder="0"/>
    </dxf>
  </rfmt>
  <rcc rId="11811" sId="43" odxf="1" dxf="1">
    <nc r="A11" t="inlineStr">
      <is>
        <t>Панель BERG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12" sId="43"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1" start="0" length="0">
    <dxf>
      <font>
        <sz val="6"/>
        <color rgb="FFFF0000"/>
        <name val="Arial Narrow"/>
        <scheme val="none"/>
      </font>
      <numFmt numFmtId="2" formatCode="0.00"/>
      <fill>
        <patternFill patternType="solid">
          <bgColor theme="0"/>
        </patternFill>
      </fill>
      <alignment horizontal="center" vertical="center" readingOrder="0"/>
    </dxf>
  </rfmt>
  <rcc rId="11813" sId="43" odxf="1" dxf="1">
    <nc r="D11" t="inlineStr">
      <is>
        <t>455,60р.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4" sId="43" odxf="1" dxf="1">
    <nc r="E11" t="inlineStr">
      <is>
        <t>503,28р.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5" sId="43" odxf="1" dxf="1">
    <nc r="F11" t="inlineStr">
      <is>
        <t>529,77р.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1" start="0" length="0">
    <dxf>
      <font>
        <sz val="8"/>
        <color rgb="FF0000FF"/>
        <name val="Arial Narrow"/>
        <scheme val="none"/>
      </font>
      <fill>
        <patternFill patternType="solid">
          <bgColor theme="0"/>
        </patternFill>
      </fill>
      <alignment vertical="center" readingOrder="0"/>
    </dxf>
  </rfmt>
  <rcc rId="11816" sId="43" odxf="1" dxf="1">
    <nc r="A12" t="inlineStr">
      <is>
        <t>Панель BURG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17" sId="43" odxf="1" dxf="1">
    <nc r="B12">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2" start="0" length="0">
    <dxf>
      <font>
        <sz val="6"/>
        <color rgb="FFFF0000"/>
        <name val="Arial Narrow"/>
        <scheme val="none"/>
      </font>
      <numFmt numFmtId="2" formatCode="0.00"/>
      <fill>
        <patternFill patternType="solid">
          <bgColor theme="0"/>
        </patternFill>
      </fill>
      <alignment horizontal="center" vertical="center" readingOrder="0"/>
    </dxf>
  </rfmt>
  <rcc rId="11818" sId="43" odxf="1" dxf="1">
    <nc r="D12" t="inlineStr">
      <is>
        <t>480,93р.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9" sId="43" odxf="1" dxf="1">
    <nc r="E12" t="inlineStr">
      <is>
        <t>531,25р.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0" sId="43" odxf="1" dxf="1">
    <nc r="F12" t="inlineStr">
      <is>
        <t>559,22р.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2" start="0" length="0">
    <dxf>
      <font>
        <sz val="8"/>
        <color rgb="FF0000FF"/>
        <name val="Arial Narrow"/>
        <scheme val="none"/>
      </font>
      <fill>
        <patternFill patternType="solid">
          <bgColor theme="0"/>
        </patternFill>
      </fill>
      <alignment vertical="center" readingOrder="0"/>
    </dxf>
  </rfmt>
  <rcc rId="11821" sId="43" odxf="1" dxf="1">
    <nc r="A13" t="inlineStr">
      <is>
        <t>Панель STEIN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22" sId="43" odxf="1" dxf="1">
    <nc r="B13">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3" start="0" length="0">
    <dxf>
      <font>
        <sz val="6"/>
        <color rgb="FFFF0000"/>
        <name val="Arial Narrow"/>
        <scheme val="none"/>
      </font>
      <numFmt numFmtId="2" formatCode="0.00"/>
      <fill>
        <patternFill patternType="solid">
          <bgColor theme="0"/>
        </patternFill>
      </fill>
      <alignment horizontal="center" vertical="center" readingOrder="0"/>
    </dxf>
  </rfmt>
  <rcc rId="11823" sId="43" odxf="1" dxf="1">
    <nc r="D13" t="inlineStr">
      <is>
        <t>506,22р.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4" sId="43" odxf="1" dxf="1">
    <nc r="E13" t="inlineStr">
      <is>
        <t>559,20р.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5" sId="43" odxf="1" dxf="1">
    <nc r="F13" t="inlineStr">
      <is>
        <t>588,63р.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3" start="0" length="0">
    <dxf>
      <font>
        <sz val="8"/>
        <color rgb="FF0000FF"/>
        <name val="Arial Narrow"/>
        <scheme val="none"/>
      </font>
      <fill>
        <patternFill patternType="solid">
          <bgColor theme="0"/>
        </patternFill>
      </fill>
      <alignment vertical="center" readingOrder="0"/>
    </dxf>
  </rfmt>
  <rcc rId="11826" sId="43" odxf="1" dxf="1">
    <nc r="A14" t="inlineStr">
      <is>
        <t>Панель FELS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27" sId="43" odxf="1" dxf="1">
    <nc r="B14">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4" start="0" length="0">
    <dxf>
      <font>
        <sz val="6"/>
        <color rgb="FFFF0000"/>
        <name val="Arial Narrow"/>
        <scheme val="none"/>
      </font>
      <numFmt numFmtId="2" formatCode="0.00"/>
      <fill>
        <patternFill patternType="solid">
          <bgColor theme="0"/>
        </patternFill>
      </fill>
      <alignment horizontal="center" vertical="center" readingOrder="0"/>
    </dxf>
  </rfmt>
  <rcc rId="11828" sId="43" odxf="1" dxf="1">
    <nc r="D14" t="inlineStr">
      <is>
        <t>506,22р.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9" sId="43" odxf="1" dxf="1">
    <nc r="E14" t="inlineStr">
      <is>
        <t>559,20р.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30" sId="43" odxf="1" dxf="1">
    <nc r="F14" t="inlineStr">
      <is>
        <t>588,63р.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4" start="0" length="0">
    <dxf>
      <font>
        <sz val="8"/>
        <color rgb="FF0000FF"/>
        <name val="Arial Narrow"/>
        <scheme val="none"/>
      </font>
      <fill>
        <patternFill patternType="solid">
          <bgColor theme="0"/>
        </patternFill>
      </fill>
      <alignment vertical="center" readingOrder="0"/>
    </dxf>
  </rfmt>
  <rcc rId="11831" sId="43" odxf="1" dxf="1">
    <nc r="A15" t="inlineStr">
      <is>
        <t>Панель STERN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32" sId="43" odxf="1" dxf="1">
    <nc r="B15">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5" start="0" length="0">
    <dxf>
      <font>
        <sz val="6"/>
        <color rgb="FFFF0000"/>
        <name val="Arial Narrow"/>
        <scheme val="none"/>
      </font>
      <numFmt numFmtId="2" formatCode="0.00"/>
      <fill>
        <patternFill patternType="solid">
          <bgColor theme="0"/>
        </patternFill>
      </fill>
      <alignment horizontal="center" vertical="center" readingOrder="0"/>
    </dxf>
  </rfmt>
  <rcc rId="11833" sId="43" odxf="1" dxf="1">
    <nc r="D15" t="inlineStr">
      <is>
        <t>479,59р.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34" sId="43" odxf="1" dxf="1">
    <nc r="E15" t="inlineStr">
      <is>
        <t>529,78р.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35" sId="43" odxf="1" dxf="1">
    <nc r="F15" t="inlineStr">
      <is>
        <t>557,66р.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5" start="0" length="0">
    <dxf>
      <font>
        <sz val="8"/>
        <color rgb="FF0000FF"/>
        <name val="Arial Narrow"/>
        <scheme val="none"/>
      </font>
      <fill>
        <patternFill patternType="solid">
          <bgColor theme="0"/>
        </patternFill>
      </fill>
      <alignment vertical="center" readingOrder="0"/>
    </dxf>
  </rfmt>
  <rfmt sheetId="43" sqref="A16" start="0" length="0">
    <dxf>
      <font>
        <sz val="11"/>
        <color theme="1"/>
        <name val="Arial Narrow"/>
        <scheme val="none"/>
      </font>
      <alignment vertical="center" readingOrder="0"/>
    </dxf>
  </rfmt>
  <rfmt sheetId="43" sqref="B16" start="0" length="0">
    <dxf>
      <font>
        <sz val="11"/>
        <color theme="1"/>
        <name val="Arial Narrow"/>
        <scheme val="none"/>
      </font>
      <fill>
        <patternFill patternType="solid">
          <bgColor theme="0"/>
        </patternFill>
      </fill>
      <alignment vertical="center" readingOrder="0"/>
    </dxf>
  </rfmt>
  <rfmt sheetId="43" sqref="C16" start="0" length="0">
    <dxf>
      <font>
        <sz val="11"/>
        <color auto="1"/>
        <name val="Arial Narrow"/>
        <scheme val="none"/>
      </font>
      <numFmt numFmtId="2" formatCode="0.00"/>
      <fill>
        <patternFill patternType="solid">
          <bgColor theme="0"/>
        </patternFill>
      </fill>
      <alignment horizontal="center" vertical="center" readingOrder="0"/>
    </dxf>
  </rfmt>
  <rfmt sheetId="43" sqref="D16" start="0" length="0">
    <dxf>
      <font>
        <sz val="11"/>
        <color auto="1"/>
        <name val="Arial Narrow"/>
        <scheme val="none"/>
      </font>
      <numFmt numFmtId="13" formatCode="0%"/>
      <fill>
        <patternFill patternType="solid">
          <bgColor theme="9" tint="0.79998168889431442"/>
        </patternFill>
      </fill>
      <alignment vertical="center" readingOrder="0"/>
    </dxf>
  </rfmt>
  <rfmt sheetId="43" sqref="E16" start="0" length="0">
    <dxf>
      <font>
        <sz val="11"/>
        <color auto="1"/>
        <name val="Arial Narrow"/>
        <scheme val="none"/>
      </font>
      <numFmt numFmtId="13" formatCode="0%"/>
      <fill>
        <patternFill patternType="solid">
          <bgColor theme="9" tint="0.79998168889431442"/>
        </patternFill>
      </fill>
      <alignment vertical="center" readingOrder="0"/>
    </dxf>
  </rfmt>
  <rfmt sheetId="43" sqref="F16" start="0" length="0">
    <dxf>
      <font>
        <sz val="11"/>
        <color auto="1"/>
        <name val="Arial Narrow"/>
        <scheme val="none"/>
      </font>
      <numFmt numFmtId="13" formatCode="0%"/>
      <fill>
        <patternFill patternType="solid">
          <bgColor theme="9" tint="0.79998168889431442"/>
        </patternFill>
      </fill>
      <alignment vertical="center" readingOrder="0"/>
    </dxf>
  </rfmt>
  <rfmt sheetId="43" sqref="G16" start="0" length="0">
    <dxf>
      <font>
        <sz val="11"/>
        <color theme="1"/>
        <name val="Arial Narrow"/>
        <scheme val="none"/>
      </font>
      <fill>
        <patternFill patternType="solid">
          <bgColor theme="0"/>
        </patternFill>
      </fill>
      <alignment vertical="center" readingOrder="0"/>
    </dxf>
  </rfmt>
  <rfmt sheetId="43" sqref="A17" start="0" length="0">
    <dxf>
      <font>
        <sz val="11"/>
        <color theme="1"/>
        <name val="Arial Narrow"/>
        <scheme val="none"/>
      </font>
      <fill>
        <patternFill patternType="solid">
          <bgColor theme="0"/>
        </patternFill>
      </fill>
      <alignment vertical="center" readingOrder="0"/>
    </dxf>
  </rfmt>
  <rfmt sheetId="43" sqref="B17" start="0" length="0">
    <dxf>
      <font>
        <sz val="11"/>
        <color theme="1"/>
        <name val="Arial Narrow"/>
        <scheme val="none"/>
      </font>
      <fill>
        <patternFill patternType="solid">
          <bgColor theme="0"/>
        </patternFill>
      </fill>
      <alignment vertical="center" readingOrder="0"/>
    </dxf>
  </rfmt>
  <rfmt sheetId="43" sqref="C17" start="0" length="0">
    <dxf>
      <font>
        <sz val="11"/>
        <color auto="1"/>
        <name val="Arial Narrow"/>
        <scheme val="none"/>
      </font>
      <fill>
        <patternFill patternType="solid">
          <bgColor theme="0"/>
        </patternFill>
      </fill>
      <alignment vertical="center" readingOrder="0"/>
    </dxf>
  </rfmt>
  <rfmt sheetId="43" sqref="D17" start="0" length="0">
    <dxf>
      <font>
        <sz val="11"/>
        <color auto="1"/>
        <name val="Arial Narrow"/>
        <scheme val="none"/>
      </font>
      <alignment vertical="center" readingOrder="0"/>
    </dxf>
  </rfmt>
  <rfmt sheetId="43" sqref="E17" start="0" length="0">
    <dxf>
      <font>
        <sz val="11"/>
        <color auto="1"/>
        <name val="Arial Narrow"/>
        <scheme val="none"/>
      </font>
      <alignment vertical="center" readingOrder="0"/>
    </dxf>
  </rfmt>
  <rfmt sheetId="43" sqref="F17" start="0" length="0">
    <dxf>
      <font>
        <sz val="11"/>
        <color auto="1"/>
        <name val="Arial Narrow"/>
        <scheme val="none"/>
      </font>
      <fill>
        <patternFill patternType="solid">
          <bgColor rgb="FFCCFFCC"/>
        </patternFill>
      </fill>
      <alignment vertical="center" readingOrder="0"/>
    </dxf>
  </rfmt>
  <rfmt sheetId="43" sqref="G17" start="0" length="0">
    <dxf>
      <font>
        <sz val="11"/>
        <color theme="1"/>
        <name val="Arial Narrow"/>
        <scheme val="none"/>
      </font>
      <fill>
        <patternFill patternType="solid">
          <bgColor theme="0"/>
        </patternFill>
      </fill>
      <alignment vertical="center" readingOrder="0"/>
    </dxf>
  </rfmt>
  <rcc rId="11836" sId="43" odxf="1" dxf="1">
    <nc r="A18" t="inlineStr">
      <is>
        <t>Углы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837" sId="43" odxf="1" dxf="1">
    <nc r="B18"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18" start="0" length="0">
    <dxf>
      <font>
        <b/>
        <sz val="11"/>
        <color auto="1"/>
        <name val="Arial Narrow"/>
        <scheme val="none"/>
      </font>
      <numFmt numFmtId="2" formatCode="0.00"/>
      <fill>
        <patternFill patternType="solid">
          <bgColor theme="0"/>
        </patternFill>
      </fill>
      <alignment horizontal="center" vertical="center" readingOrder="0"/>
    </dxf>
  </rfmt>
  <rfmt sheetId="43" sqref="D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18"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18" start="0" length="0">
    <dxf>
      <font>
        <b/>
        <sz val="11"/>
        <color theme="1"/>
        <name val="Arial Narrow"/>
        <scheme val="none"/>
      </font>
      <fill>
        <patternFill patternType="solid">
          <bgColor theme="0"/>
        </patternFill>
      </fill>
      <alignment vertical="center" readingOrder="0"/>
    </dxf>
  </rfmt>
  <rcc rId="11838" sId="43" odxf="1" dxf="1">
    <nc r="A19" t="inlineStr">
      <is>
        <t>Угол  EDEL</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39" sId="43" odxf="1" dxf="1">
    <nc r="B19">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9" start="0" length="0">
    <dxf>
      <font>
        <sz val="6"/>
        <color rgb="FFFF0000"/>
        <name val="Arial Narrow"/>
        <scheme val="none"/>
      </font>
      <numFmt numFmtId="2" formatCode="0.00"/>
      <fill>
        <patternFill patternType="solid">
          <bgColor theme="0"/>
        </patternFill>
      </fill>
      <alignment horizontal="center" vertical="center" readingOrder="0"/>
    </dxf>
  </rfmt>
  <rcc rId="11840" sId="43" odxf="1" dxf="1">
    <nc r="D19" t="inlineStr">
      <is>
        <t>396,81р.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1" sId="43" odxf="1" dxf="1">
    <nc r="E19" t="inlineStr">
      <is>
        <t>443,50р.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2" sId="43" odxf="1" dxf="1">
    <nc r="F19"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9" start="0" length="0">
    <dxf>
      <font>
        <sz val="11"/>
        <color rgb="FF0000FF"/>
        <name val="Arial Narrow"/>
        <scheme val="none"/>
      </font>
      <fill>
        <patternFill patternType="solid">
          <bgColor theme="0"/>
        </patternFill>
      </fill>
      <alignment vertical="center" readingOrder="0"/>
    </dxf>
  </rfmt>
  <rcc rId="11843" sId="43" odxf="1" dxf="1">
    <nc r="A20" t="inlineStr">
      <is>
        <t xml:space="preserve">Угол BERG </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44" sId="43" odxf="1" dxf="1">
    <nc r="B20">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0" start="0" length="0">
    <dxf>
      <font>
        <sz val="6"/>
        <color rgb="FFFF0000"/>
        <name val="Arial Narrow"/>
        <scheme val="none"/>
      </font>
      <numFmt numFmtId="2" formatCode="0.00"/>
      <fill>
        <patternFill patternType="solid">
          <bgColor theme="0"/>
        </patternFill>
      </fill>
      <alignment horizontal="center" vertical="center" readingOrder="0"/>
    </dxf>
  </rfmt>
  <rcc rId="11845" sId="43" odxf="1" dxf="1">
    <nc r="D20"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6" sId="43" odxf="1" dxf="1">
    <nc r="E20"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7" sId="43" odxf="1" dxf="1">
    <nc r="F20"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0" start="0" length="0">
    <dxf>
      <font>
        <sz val="11"/>
        <color rgb="FF0000FF"/>
        <name val="Arial Narrow"/>
        <scheme val="none"/>
      </font>
      <fill>
        <patternFill patternType="solid">
          <bgColor theme="0"/>
        </patternFill>
      </fill>
      <alignment vertical="center" readingOrder="0"/>
    </dxf>
  </rfmt>
  <rcc rId="11848" sId="43" odxf="1" dxf="1">
    <nc r="A21" t="inlineStr">
      <is>
        <t>Угол BURG</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49" sId="43" odxf="1" dxf="1">
    <nc r="B2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1" start="0" length="0">
    <dxf>
      <font>
        <sz val="6"/>
        <color rgb="FFFF0000"/>
        <name val="Arial Narrow"/>
        <scheme val="none"/>
      </font>
      <numFmt numFmtId="2" formatCode="0.00"/>
      <fill>
        <patternFill patternType="solid">
          <bgColor theme="0"/>
        </patternFill>
      </fill>
      <alignment horizontal="center" vertical="center" readingOrder="0"/>
    </dxf>
  </rfmt>
  <rcc rId="11850" sId="43" odxf="1" dxf="1">
    <nc r="D21"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1" sId="43" odxf="1" dxf="1">
    <nc r="E21"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2" sId="43" odxf="1" dxf="1">
    <nc r="F21"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1" start="0" length="0">
    <dxf>
      <font>
        <sz val="11"/>
        <color rgb="FF0000FF"/>
        <name val="Arial Narrow"/>
        <scheme val="none"/>
      </font>
      <fill>
        <patternFill patternType="solid">
          <bgColor theme="0"/>
        </patternFill>
      </fill>
      <alignment vertical="center" readingOrder="0"/>
    </dxf>
  </rfmt>
  <rcc rId="11853" sId="43" odxf="1" dxf="1">
    <nc r="A22" t="inlineStr">
      <is>
        <t>Угол STEIN</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54" sId="43" odxf="1" dxf="1">
    <nc r="B22">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2" start="0" length="0">
    <dxf>
      <font>
        <sz val="6"/>
        <color rgb="FFFF0000"/>
        <name val="Arial Narrow"/>
        <scheme val="none"/>
      </font>
      <numFmt numFmtId="2" formatCode="0.00"/>
      <fill>
        <patternFill patternType="solid">
          <bgColor theme="0"/>
        </patternFill>
      </fill>
      <alignment horizontal="center" vertical="center" readingOrder="0"/>
    </dxf>
  </rfmt>
  <rcc rId="11855" sId="43" odxf="1" dxf="1">
    <nc r="D22"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6" sId="43" odxf="1" dxf="1">
    <nc r="E22"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7" sId="43" odxf="1" dxf="1">
    <nc r="F22"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2" start="0" length="0">
    <dxf>
      <font>
        <sz val="11"/>
        <color rgb="FF0000FF"/>
        <name val="Arial Narrow"/>
        <scheme val="none"/>
      </font>
      <fill>
        <patternFill patternType="solid">
          <bgColor theme="0"/>
        </patternFill>
      </fill>
      <alignment vertical="center" readingOrder="0"/>
    </dxf>
  </rfmt>
  <rcc rId="11858" sId="43" odxf="1" dxf="1">
    <nc r="A23" t="inlineStr">
      <is>
        <t>Угол FELS</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59" sId="43" odxf="1" dxf="1">
    <nc r="B23">
      <v>7</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3" start="0" length="0">
    <dxf>
      <font>
        <sz val="6"/>
        <color rgb="FFFF0000"/>
        <name val="Arial Narrow"/>
        <scheme val="none"/>
      </font>
      <numFmt numFmtId="2" formatCode="0.00"/>
      <fill>
        <patternFill patternType="solid">
          <bgColor theme="0"/>
        </patternFill>
      </fill>
      <alignment horizontal="center" vertical="center" readingOrder="0"/>
    </dxf>
  </rfmt>
  <rcc rId="11860" sId="43" odxf="1" dxf="1">
    <nc r="D23"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1" sId="43" odxf="1" dxf="1">
    <nc r="E23"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2" sId="43" odxf="1" dxf="1">
    <nc r="F23"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3" start="0" length="0">
    <dxf>
      <font>
        <sz val="11"/>
        <color rgb="FF0000FF"/>
        <name val="Arial Narrow"/>
        <scheme val="none"/>
      </font>
      <fill>
        <patternFill patternType="solid">
          <bgColor theme="0"/>
        </patternFill>
      </fill>
      <alignment vertical="center" readingOrder="0"/>
    </dxf>
  </rfmt>
  <rcc rId="11863" sId="43" odxf="1" dxf="1">
    <nc r="A24" t="inlineStr">
      <is>
        <t>Угол STERN</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64" sId="43" odxf="1" dxf="1">
    <nc r="B24">
      <v>8</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4" start="0" length="0">
    <dxf>
      <font>
        <sz val="6"/>
        <color rgb="FFFF0000"/>
        <name val="Arial Narrow"/>
        <scheme val="none"/>
      </font>
      <numFmt numFmtId="2" formatCode="0.00"/>
      <fill>
        <patternFill patternType="solid">
          <bgColor theme="0"/>
        </patternFill>
      </fill>
      <alignment horizontal="center" vertical="center" readingOrder="0"/>
    </dxf>
  </rfmt>
  <rcc rId="11865" sId="43" odxf="1" dxf="1">
    <nc r="D24"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6" sId="43" odxf="1" dxf="1">
    <nc r="E24"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7" sId="43" odxf="1" dxf="1">
    <nc r="F24"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4" start="0" length="0">
    <dxf>
      <font>
        <sz val="11"/>
        <color rgb="FF0000FF"/>
        <name val="Arial Narrow"/>
        <scheme val="none"/>
      </font>
      <fill>
        <patternFill patternType="solid">
          <bgColor theme="0"/>
        </patternFill>
      </fill>
      <alignment vertical="center" readingOrder="0"/>
    </dxf>
  </rfmt>
  <rfmt sheetId="43" sqref="A25" start="0" length="0">
    <dxf>
      <font>
        <sz val="11"/>
        <color theme="1"/>
        <name val="Arial Narrow"/>
        <scheme val="none"/>
      </font>
      <fill>
        <patternFill patternType="solid">
          <bgColor theme="0"/>
        </patternFill>
      </fill>
      <alignment vertical="center" readingOrder="0"/>
    </dxf>
  </rfmt>
  <rfmt sheetId="43" sqref="B25" start="0" length="0">
    <dxf>
      <font>
        <sz val="11"/>
        <color theme="1"/>
        <name val="Arial Narrow"/>
        <scheme val="none"/>
      </font>
      <fill>
        <patternFill patternType="solid">
          <bgColor theme="0"/>
        </patternFill>
      </fill>
      <alignment vertical="center" readingOrder="0"/>
    </dxf>
  </rfmt>
  <rfmt sheetId="43" sqref="C25" start="0" length="0">
    <dxf>
      <font>
        <sz val="11"/>
        <color auto="1"/>
        <name val="Arial Narrow"/>
        <scheme val="none"/>
      </font>
      <fill>
        <patternFill patternType="solid">
          <bgColor theme="0"/>
        </patternFill>
      </fill>
      <alignment vertical="center" readingOrder="0"/>
    </dxf>
  </rfmt>
  <rfmt sheetId="43" sqref="D25" start="0" length="0">
    <dxf>
      <font>
        <sz val="11"/>
        <color auto="1"/>
        <name val="Arial Narrow"/>
        <scheme val="none"/>
      </font>
      <numFmt numFmtId="13" formatCode="0%"/>
      <fill>
        <patternFill patternType="solid">
          <bgColor theme="9" tint="0.79998168889431442"/>
        </patternFill>
      </fill>
      <alignment vertical="center" readingOrder="0"/>
    </dxf>
  </rfmt>
  <rfmt sheetId="43" sqref="E25" start="0" length="0">
    <dxf>
      <font>
        <sz val="11"/>
        <color auto="1"/>
        <name val="Arial Narrow"/>
        <scheme val="none"/>
      </font>
      <numFmt numFmtId="13" formatCode="0%"/>
      <fill>
        <patternFill patternType="solid">
          <bgColor theme="9" tint="0.79998168889431442"/>
        </patternFill>
      </fill>
      <alignment vertical="center" readingOrder="0"/>
    </dxf>
  </rfmt>
  <rfmt sheetId="43" sqref="F25" start="0" length="0">
    <dxf>
      <font>
        <sz val="11"/>
        <color auto="1"/>
        <name val="Arial Narrow"/>
        <scheme val="none"/>
      </font>
      <numFmt numFmtId="13" formatCode="0%"/>
      <fill>
        <patternFill patternType="solid">
          <bgColor theme="9" tint="0.79998168889431442"/>
        </patternFill>
      </fill>
      <alignment vertical="center" readingOrder="0"/>
    </dxf>
  </rfmt>
  <rfmt sheetId="43" sqref="G25" start="0" length="0">
    <dxf>
      <font>
        <sz val="11"/>
        <color theme="1"/>
        <name val="Arial Narrow"/>
        <scheme val="none"/>
      </font>
      <fill>
        <patternFill patternType="solid">
          <bgColor theme="0"/>
        </patternFill>
      </fill>
      <alignment vertical="center" readingOrder="0"/>
    </dxf>
  </rfmt>
  <rfmt sheetId="43" sqref="A26" start="0" length="0">
    <dxf>
      <font>
        <sz val="11"/>
        <color theme="1"/>
        <name val="Arial Narrow"/>
        <scheme val="none"/>
      </font>
      <fill>
        <patternFill patternType="solid">
          <bgColor theme="0"/>
        </patternFill>
      </fill>
      <alignment vertical="center" readingOrder="0"/>
    </dxf>
  </rfmt>
  <rfmt sheetId="43" sqref="B26" start="0" length="0">
    <dxf>
      <font>
        <sz val="11"/>
        <color theme="1"/>
        <name val="Arial Narrow"/>
        <scheme val="none"/>
      </font>
      <fill>
        <patternFill patternType="solid">
          <bgColor theme="0"/>
        </patternFill>
      </fill>
      <alignment vertical="center" readingOrder="0"/>
    </dxf>
  </rfmt>
  <rfmt sheetId="43" sqref="C26" start="0" length="0">
    <dxf>
      <font>
        <sz val="11"/>
        <color auto="1"/>
        <name val="Arial Narrow"/>
        <scheme val="none"/>
      </font>
      <fill>
        <patternFill patternType="solid">
          <bgColor theme="0"/>
        </patternFill>
      </fill>
      <alignment vertical="center" readingOrder="0"/>
    </dxf>
  </rfmt>
  <rfmt sheetId="43" sqref="D26" start="0" length="0">
    <dxf>
      <font>
        <sz val="11"/>
        <color auto="1"/>
        <name val="Arial Narrow"/>
        <scheme val="none"/>
      </font>
      <numFmt numFmtId="1" formatCode="0"/>
      <fill>
        <patternFill patternType="solid">
          <bgColor theme="0"/>
        </patternFill>
      </fill>
      <alignment vertical="center" readingOrder="0"/>
    </dxf>
  </rfmt>
  <rfmt sheetId="43" sqref="E26" start="0" length="0">
    <dxf>
      <font>
        <sz val="11"/>
        <color auto="1"/>
        <name val="Arial Narrow"/>
        <scheme val="none"/>
      </font>
      <numFmt numFmtId="1" formatCode="0"/>
      <fill>
        <patternFill patternType="solid">
          <bgColor theme="0"/>
        </patternFill>
      </fill>
      <alignment vertical="center" readingOrder="0"/>
    </dxf>
  </rfmt>
  <rfmt sheetId="43" sqref="F26" start="0" length="0">
    <dxf>
      <font>
        <sz val="11"/>
        <color auto="1"/>
        <name val="Arial Narrow"/>
        <scheme val="none"/>
      </font>
      <fill>
        <patternFill patternType="solid">
          <bgColor theme="0"/>
        </patternFill>
      </fill>
      <alignment vertical="center" readingOrder="0"/>
    </dxf>
  </rfmt>
  <rfmt sheetId="43" sqref="G26" start="0" length="0">
    <dxf>
      <font>
        <sz val="11"/>
        <color theme="1"/>
        <name val="Arial Narrow"/>
        <scheme val="none"/>
      </font>
      <fill>
        <patternFill patternType="solid">
          <bgColor theme="0"/>
        </patternFill>
      </fill>
      <alignment vertical="center" readingOrder="0"/>
    </dxf>
  </rfmt>
  <rcc rId="11868" sId="43" odxf="1" dxf="1">
    <nc r="A27" t="inlineStr">
      <is>
        <t>Аксессуары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869" sId="43" odxf="1" dxf="1">
    <nc r="B27"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27" start="0" length="0">
    <dxf>
      <font>
        <b/>
        <sz val="11"/>
        <color auto="1"/>
        <name val="Arial Narrow"/>
        <scheme val="none"/>
      </font>
      <numFmt numFmtId="2" formatCode="0.00"/>
      <fill>
        <patternFill patternType="solid">
          <bgColor theme="0"/>
        </patternFill>
      </fill>
      <alignment horizontal="center" vertical="center" readingOrder="0"/>
    </dxf>
  </rfmt>
  <rfmt sheetId="43" sqref="D27"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27"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27"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27" start="0" length="0">
    <dxf>
      <font>
        <b/>
        <sz val="11"/>
        <color theme="1"/>
        <name val="Arial Narrow"/>
        <scheme val="none"/>
      </font>
      <fill>
        <patternFill patternType="solid">
          <bgColor theme="0"/>
        </patternFill>
      </fill>
      <alignment vertical="center" readingOrder="0"/>
    </dxf>
  </rfmt>
  <rcc rId="11870" sId="43" odxf="1" dxf="1">
    <nc r="A28" t="inlineStr">
      <is>
        <t>Фасадный внутренний угол (Агатовый, Слоновая кость, Палевый, Бежевый, Каштановый)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71" sId="43" odxf="1" dxf="1">
    <nc r="B28">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28" start="0" length="0">
    <dxf>
      <font>
        <sz val="6"/>
        <color rgb="FFFF0000"/>
        <name val="Arial Narrow"/>
        <scheme val="none"/>
      </font>
      <numFmt numFmtId="2" formatCode="0.00"/>
      <fill>
        <patternFill patternType="solid">
          <bgColor theme="0"/>
        </patternFill>
      </fill>
      <alignment horizontal="center" vertical="center" readingOrder="0"/>
    </dxf>
  </rfmt>
  <rcc rId="11872" sId="43" odxf="1" dxf="1">
    <nc r="D28" t="inlineStr">
      <is>
        <t>224,93р.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3" sId="43" odxf="1" dxf="1">
    <nc r="E28" t="inlineStr">
      <is>
        <t>251,39р.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4" sId="43" odxf="1" dxf="1">
    <nc r="F28" t="inlineStr">
      <is>
        <t>264,62р.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8" start="0" length="0">
    <dxf>
      <font>
        <sz val="11"/>
        <color rgb="FF0000FF"/>
        <name val="Arial Narrow"/>
        <scheme val="none"/>
      </font>
      <fill>
        <patternFill patternType="solid">
          <bgColor theme="0"/>
        </patternFill>
      </fill>
      <alignment vertical="center" readingOrder="0"/>
    </dxf>
  </rfmt>
  <rcc rId="11875" sId="43" odxf="1" dxf="1">
    <nc r="A29" t="inlineStr">
      <is>
        <t>Фасадный внутренний угол Дымчатый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76" sId="43" odxf="1" dxf="1">
    <nc r="B29">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29" start="0" length="0">
    <dxf>
      <font>
        <sz val="6"/>
        <color rgb="FFFF0000"/>
        <name val="Arial Narrow"/>
        <scheme val="none"/>
      </font>
      <numFmt numFmtId="2" formatCode="0.00"/>
      <fill>
        <patternFill patternType="solid">
          <bgColor theme="0"/>
        </patternFill>
      </fill>
      <alignment horizontal="center" vertical="center" readingOrder="0"/>
    </dxf>
  </rfmt>
  <rcc rId="11877" sId="43" odxf="1" dxf="1">
    <nc r="D29" t="inlineStr">
      <is>
        <t>306,71р.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8" sId="43" odxf="1" dxf="1">
    <nc r="E29" t="inlineStr">
      <is>
        <t>342,80р.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9" sId="43" odxf="1" dxf="1">
    <nc r="F29" t="inlineStr">
      <is>
        <t>360,84р.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9" start="0" length="0">
    <dxf>
      <font>
        <sz val="11"/>
        <color rgb="FF0000FF"/>
        <name val="Arial Narrow"/>
        <scheme val="none"/>
      </font>
      <fill>
        <patternFill patternType="solid">
          <bgColor theme="0"/>
        </patternFill>
      </fill>
      <alignment vertical="center" readingOrder="0"/>
    </dxf>
  </rfmt>
  <rcc rId="11880" sId="43" odxf="1" dxf="1">
    <nc r="A30" t="inlineStr">
      <is>
        <t>Стартовый угол BERG, EDEL</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81" sId="43" odxf="1" dxf="1">
    <nc r="B30">
      <v>80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0" start="0" length="0">
    <dxf>
      <font>
        <sz val="6"/>
        <color rgb="FFFF0000"/>
        <name val="Arial Narrow"/>
        <scheme val="none"/>
      </font>
      <numFmt numFmtId="2" formatCode="0.00"/>
      <fill>
        <patternFill patternType="solid">
          <bgColor theme="0"/>
        </patternFill>
      </fill>
      <alignment horizontal="center" vertical="center" readingOrder="0"/>
    </dxf>
  </rfmt>
  <rcc rId="11882" sId="43" odxf="1" dxf="1">
    <nc r="D30" t="inlineStr">
      <is>
        <t>64,28р.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3" sId="43" odxf="1" dxf="1">
    <nc r="E30" t="inlineStr">
      <is>
        <t>71,84р.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4" sId="43" odxf="1" dxf="1">
    <nc r="F30" t="inlineStr">
      <is>
        <t>75,62р.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0" start="0" length="0">
    <dxf>
      <font>
        <sz val="11"/>
        <color rgb="FF0000FF"/>
        <name val="Arial Narrow"/>
        <scheme val="none"/>
      </font>
      <fill>
        <patternFill patternType="solid">
          <bgColor theme="0"/>
        </patternFill>
      </fill>
      <alignment vertical="center" readingOrder="0"/>
    </dxf>
  </rfmt>
  <rcc rId="11885" sId="43" odxf="1" dxf="1">
    <nc r="A31" t="inlineStr">
      <is>
        <t>Стартовый угол BURG, STEIN, STERN, FELS</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86" sId="43" odxf="1" dxf="1">
    <nc r="B31">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1" start="0" length="0">
    <dxf>
      <font>
        <sz val="6"/>
        <color rgb="FFFF0000"/>
        <name val="Arial Narrow"/>
        <scheme val="none"/>
      </font>
      <numFmt numFmtId="2" formatCode="0.00"/>
      <fill>
        <patternFill patternType="solid">
          <bgColor theme="0"/>
        </patternFill>
      </fill>
      <alignment horizontal="center" vertical="center" readingOrder="0"/>
    </dxf>
  </rfmt>
  <rcc rId="11887" sId="43" odxf="1" dxf="1">
    <nc r="D31" t="inlineStr">
      <is>
        <t>64,28р.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8" sId="43" odxf="1" dxf="1">
    <nc r="E31" t="inlineStr">
      <is>
        <t>71,84р.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9" sId="43" odxf="1" dxf="1">
    <nc r="F31" t="inlineStr">
      <is>
        <t>75,62р.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1" start="0" length="0">
    <dxf>
      <font>
        <sz val="11"/>
        <color rgb="FF0000FF"/>
        <name val="Arial Narrow"/>
        <scheme val="none"/>
      </font>
      <fill>
        <patternFill patternType="solid">
          <bgColor theme="0"/>
        </patternFill>
      </fill>
      <alignment vertical="center" readingOrder="0"/>
    </dxf>
  </rfmt>
  <rcc rId="11890" sId="43" odxf="1" dxf="1">
    <nc r="A32" t="inlineStr">
      <is>
        <t>Фасадный J-профиль 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91" sId="43" odxf="1" dxf="1">
    <nc r="B32">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2" start="0" length="0">
    <dxf>
      <font>
        <sz val="6"/>
        <color rgb="FFFF0000"/>
        <name val="Arial Narrow"/>
        <scheme val="none"/>
      </font>
      <numFmt numFmtId="2" formatCode="0.00"/>
      <fill>
        <patternFill patternType="solid">
          <bgColor theme="0"/>
        </patternFill>
      </fill>
      <alignment horizontal="center" vertical="center" readingOrder="0"/>
    </dxf>
  </rfmt>
  <rcc rId="11892" sId="43" odxf="1" dxf="1">
    <nc r="D32" t="inlineStr">
      <is>
        <t>257,05р.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3" sId="43" odxf="1" dxf="1">
    <nc r="E32" t="inlineStr">
      <is>
        <t>287,29р.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4" sId="43" odxf="1" dxf="1">
    <nc r="F32" t="inlineStr">
      <is>
        <t>302,41р.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2" start="0" length="0">
    <dxf>
      <font>
        <sz val="11"/>
        <color rgb="FF0000FF"/>
        <name val="Arial Narrow"/>
        <scheme val="none"/>
      </font>
      <fill>
        <patternFill patternType="solid">
          <bgColor theme="0"/>
        </patternFill>
      </fill>
      <alignment vertical="center" readingOrder="0"/>
    </dxf>
  </rfmt>
  <rcc rId="11895" sId="43" odxf="1" dxf="1">
    <nc r="A33" t="inlineStr">
      <is>
        <t>Фасадный J-профиль 30мм, Табачный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96" sId="43" odxf="1" dxf="1">
    <nc r="B33">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3" start="0" length="0">
    <dxf>
      <font>
        <sz val="6"/>
        <color rgb="FFFF0000"/>
        <name val="Arial Narrow"/>
        <scheme val="none"/>
      </font>
      <numFmt numFmtId="2" formatCode="0.00"/>
      <fill>
        <patternFill patternType="solid">
          <bgColor theme="0"/>
        </patternFill>
      </fill>
      <alignment horizontal="center" vertical="center" readingOrder="0"/>
    </dxf>
  </rfmt>
  <rcc rId="11897" sId="43" odxf="1" dxf="1">
    <nc r="D33" t="inlineStr">
      <is>
        <t>291,13р.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8" sId="43" odxf="1" dxf="1">
    <nc r="E33" t="inlineStr">
      <is>
        <t>325,38р.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9" sId="43" odxf="1" dxf="1">
    <nc r="F33" t="inlineStr">
      <is>
        <t>342,50р.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3" start="0" length="0">
    <dxf>
      <font>
        <sz val="11"/>
        <color rgb="FF0000FF"/>
        <name val="Arial Narrow"/>
        <scheme val="none"/>
      </font>
      <fill>
        <patternFill patternType="solid">
          <bgColor theme="0"/>
        </patternFill>
      </fill>
      <alignment vertical="center" readingOrder="0"/>
    </dxf>
  </rfmt>
  <rcc rId="11900" sId="43" odxf="1" dxf="1">
    <nc r="A34" t="inlineStr">
      <is>
        <t>Фасадный L-профиль 35мм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01" sId="43" odxf="1" dxf="1">
    <nc r="B34">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4" start="0" length="0">
    <dxf>
      <font>
        <sz val="6"/>
        <color rgb="FFFF0000"/>
        <name val="Arial Narrow"/>
        <scheme val="none"/>
      </font>
      <numFmt numFmtId="2" formatCode="0.00"/>
      <fill>
        <patternFill patternType="solid">
          <bgColor theme="0"/>
        </patternFill>
      </fill>
      <alignment horizontal="center" vertical="center" readingOrder="0"/>
    </dxf>
  </rfmt>
  <rcc rId="11902" sId="43" odxf="1" dxf="1">
    <nc r="D34" t="inlineStr">
      <is>
        <t>218,10р.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3" sId="43" odxf="1" dxf="1">
    <nc r="E34" t="inlineStr">
      <is>
        <t>243,76р.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4" sId="43" odxf="1" dxf="1">
    <nc r="F34" t="inlineStr">
      <is>
        <t>256,59р.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4" start="0" length="0">
    <dxf>
      <font>
        <sz val="11"/>
        <color rgb="FF0000FF"/>
        <name val="Arial Narrow"/>
        <scheme val="none"/>
      </font>
      <fill>
        <patternFill patternType="solid">
          <bgColor theme="0"/>
        </patternFill>
      </fill>
      <alignment vertical="center" readingOrder="0"/>
    </dxf>
  </rfmt>
  <rcc rId="11905" sId="43" odxf="1" dxf="1">
    <nc r="A35" t="inlineStr">
      <is>
        <t>Фасадный L-профиль 35мм Дымчатый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06" sId="43" odxf="1" dxf="1">
    <nc r="B35">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5" start="0" length="0">
    <dxf>
      <font>
        <sz val="6"/>
        <color rgb="FFFF0000"/>
        <name val="Arial Narrow"/>
        <scheme val="none"/>
      </font>
      <numFmt numFmtId="2" formatCode="0.00"/>
      <fill>
        <patternFill patternType="solid">
          <bgColor theme="0"/>
        </patternFill>
      </fill>
      <alignment horizontal="center" vertical="center" readingOrder="0"/>
    </dxf>
  </rfmt>
  <rcc rId="11907" sId="43" odxf="1" dxf="1">
    <nc r="D35" t="inlineStr">
      <is>
        <t>410,01р.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8" sId="43" odxf="1" dxf="1">
    <nc r="E35" t="inlineStr">
      <is>
        <t>458,25р.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9" sId="43" odxf="1" dxf="1">
    <nc r="F35" t="inlineStr">
      <is>
        <t>482,37р.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5" start="0" length="0">
    <dxf>
      <font>
        <sz val="11"/>
        <color rgb="FF0000FF"/>
        <name val="Arial Narrow"/>
        <scheme val="none"/>
      </font>
      <fill>
        <patternFill patternType="solid">
          <bgColor theme="0"/>
        </patternFill>
      </fill>
      <alignment vertical="center" readingOrder="0"/>
    </dxf>
  </rfmt>
  <rcc rId="11910" sId="43" odxf="1" dxf="1">
    <nc r="A36" t="inlineStr">
      <is>
        <t>Фасадный околооконный профиль 230мм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11" sId="43" odxf="1" dxf="1">
    <nc r="B36">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6" start="0" length="0">
    <dxf>
      <font>
        <sz val="6"/>
        <color rgb="FFFF0000"/>
        <name val="Arial Narrow"/>
        <scheme val="none"/>
      </font>
      <numFmt numFmtId="2" formatCode="0.00"/>
      <fill>
        <patternFill patternType="solid">
          <bgColor theme="0"/>
        </patternFill>
      </fill>
      <alignment horizontal="center" vertical="center" readingOrder="0"/>
    </dxf>
  </rfmt>
  <rcc rId="11912" sId="43" odxf="1" dxf="1">
    <nc r="D36" t="inlineStr">
      <is>
        <t>592,96р.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3" sId="43" odxf="1" dxf="1">
    <nc r="E36" t="inlineStr">
      <is>
        <t>662,72р.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4" sId="43" odxf="1" dxf="1">
    <nc r="F36" t="inlineStr">
      <is>
        <t>697,60р.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6" start="0" length="0">
    <dxf>
      <font>
        <sz val="11"/>
        <color rgb="FF0000FF"/>
        <name val="Arial Narrow"/>
        <scheme val="none"/>
      </font>
      <fill>
        <patternFill patternType="solid">
          <bgColor theme="0"/>
        </patternFill>
      </fill>
      <alignment vertical="center" readingOrder="0"/>
    </dxf>
  </rfmt>
  <rcc rId="11915" sId="43" odxf="1" dxf="1">
    <nc r="A37" t="inlineStr">
      <is>
        <t>Бордюр универсальный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16" sId="43" odxf="1" dxf="1">
    <nc r="B37">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7" start="0" length="0">
    <dxf>
      <font>
        <sz val="6"/>
        <color rgb="FFFF0000"/>
        <name val="Arial Narrow"/>
        <scheme val="none"/>
      </font>
      <numFmt numFmtId="2" formatCode="0.00"/>
      <fill>
        <patternFill patternType="solid">
          <bgColor theme="0"/>
        </patternFill>
      </fill>
      <alignment horizontal="center" vertical="center" readingOrder="0"/>
    </dxf>
  </rfmt>
  <rcc rId="11917" sId="43" odxf="1" dxf="1">
    <nc r="D37" t="inlineStr">
      <is>
        <t>228,81р.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8" sId="43" odxf="1" dxf="1">
    <nc r="E37" t="inlineStr">
      <is>
        <t>255,73р.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9" sId="43" odxf="1" dxf="1">
    <nc r="F37" t="inlineStr">
      <is>
        <t>269,19р.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7" start="0" length="0">
    <dxf>
      <font>
        <sz val="11"/>
        <color rgb="FF0000FF"/>
        <name val="Arial Narrow"/>
        <scheme val="none"/>
      </font>
      <fill>
        <patternFill patternType="solid">
          <bgColor theme="0"/>
        </patternFill>
      </fill>
      <alignment vertical="center" readingOrder="0"/>
    </dxf>
  </rfmt>
  <rcc rId="11920" sId="43" odxf="1" dxf="1">
    <nc r="A38" t="inlineStr">
      <is>
        <t>Угловая накладка для бордюра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21" sId="43" odxf="1" dxf="1">
    <nc r="B38">
      <v>96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8" start="0" length="0">
    <dxf>
      <font>
        <sz val="6"/>
        <color rgb="FFFF0000"/>
        <name val="Arial Narrow"/>
        <scheme val="none"/>
      </font>
      <numFmt numFmtId="2" formatCode="0.00"/>
      <fill>
        <patternFill patternType="solid">
          <bgColor theme="0"/>
        </patternFill>
      </fill>
      <alignment horizontal="center" vertical="center" readingOrder="0"/>
    </dxf>
  </rfmt>
  <rcc rId="11922" sId="43" odxf="1" dxf="1">
    <nc r="D38" t="inlineStr">
      <is>
        <t>16,06р.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3" sId="43" odxf="1" dxf="1">
    <nc r="E38" t="inlineStr">
      <is>
        <t>17,95р.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4" sId="43" odxf="1" dxf="1">
    <nc r="F38" t="inlineStr">
      <is>
        <t>18,90р.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8" start="0" length="0">
    <dxf>
      <font>
        <sz val="11"/>
        <color rgb="FF0000FF"/>
        <name val="Arial Narrow"/>
        <scheme val="none"/>
      </font>
      <fill>
        <patternFill patternType="solid">
          <bgColor theme="0"/>
        </patternFill>
      </fill>
      <alignment vertical="center" readingOrder="0"/>
    </dxf>
  </rfmt>
  <rcc rId="11925" sId="43" odxf="1" dxf="1">
    <nc r="A39" t="inlineStr">
      <is>
        <t>Базовая планка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26" sId="43" odxf="1" dxf="1">
    <nc r="B39">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9" start="0" length="0">
    <dxf>
      <font>
        <sz val="6"/>
        <color rgb="FFFF0000"/>
        <name val="Arial Narrow"/>
        <scheme val="none"/>
      </font>
      <numFmt numFmtId="2" formatCode="0.00"/>
      <fill>
        <patternFill patternType="solid">
          <bgColor theme="0"/>
        </patternFill>
      </fill>
      <alignment horizontal="center" vertical="center" readingOrder="0"/>
    </dxf>
  </rfmt>
  <rcc rId="11927" sId="43" odxf="1" dxf="1">
    <nc r="D39" t="inlineStr">
      <is>
        <t>99,30р.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8" sId="43" odxf="1" dxf="1">
    <nc r="E39" t="inlineStr">
      <is>
        <t>110,98р.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9" sId="43" odxf="1" dxf="1">
    <nc r="F39" t="inlineStr">
      <is>
        <t>116,82р.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9" start="0" length="0">
    <dxf>
      <font>
        <sz val="11"/>
        <color rgb="FF0000FF"/>
        <name val="Arial Narrow"/>
        <scheme val="none"/>
      </font>
      <fill>
        <patternFill patternType="solid">
          <bgColor theme="0"/>
        </patternFill>
      </fill>
      <alignment vertical="center" readingOrder="0"/>
    </dxf>
  </rfmt>
  <rfmt sheetId="43" sqref="A40" start="0" length="0">
    <dxf>
      <font>
        <sz val="11"/>
        <color theme="1"/>
        <name val="Arial Narrow"/>
        <scheme val="none"/>
      </font>
      <fill>
        <patternFill patternType="solid">
          <bgColor theme="0"/>
        </patternFill>
      </fill>
      <alignment vertical="center" readingOrder="0"/>
    </dxf>
  </rfmt>
  <rfmt sheetId="43" sqref="B40" start="0" length="0">
    <dxf>
      <font>
        <sz val="11"/>
        <color theme="1"/>
        <name val="Arial Narrow"/>
        <scheme val="none"/>
      </font>
      <fill>
        <patternFill patternType="solid">
          <bgColor theme="0"/>
        </patternFill>
      </fill>
      <alignment vertical="center" readingOrder="0"/>
    </dxf>
  </rfmt>
  <rfmt sheetId="43" sqref="C40" start="0" length="0">
    <dxf>
      <font>
        <sz val="11"/>
        <color auto="1"/>
        <name val="Arial Narrow"/>
        <scheme val="none"/>
      </font>
      <fill>
        <patternFill patternType="solid">
          <bgColor theme="0"/>
        </patternFill>
      </fill>
      <alignment vertical="center" readingOrder="0"/>
    </dxf>
  </rfmt>
  <rfmt sheetId="43" sqref="D40" start="0" length="0">
    <dxf>
      <font>
        <sz val="11"/>
        <color auto="1"/>
        <name val="Arial Narrow"/>
        <scheme val="none"/>
      </font>
      <numFmt numFmtId="13" formatCode="0%"/>
      <fill>
        <patternFill patternType="solid">
          <bgColor theme="9" tint="0.79998168889431442"/>
        </patternFill>
      </fill>
      <alignment vertical="center" readingOrder="0"/>
    </dxf>
  </rfmt>
  <rfmt sheetId="43" sqref="E40" start="0" length="0">
    <dxf>
      <font>
        <sz val="11"/>
        <color auto="1"/>
        <name val="Arial Narrow"/>
        <scheme val="none"/>
      </font>
      <numFmt numFmtId="13" formatCode="0%"/>
      <fill>
        <patternFill patternType="solid">
          <bgColor theme="9" tint="0.79998168889431442"/>
        </patternFill>
      </fill>
      <alignment vertical="center" readingOrder="0"/>
    </dxf>
  </rfmt>
  <rfmt sheetId="43" sqref="F40" start="0" length="0">
    <dxf>
      <font>
        <sz val="11"/>
        <color auto="1"/>
        <name val="Arial Narrow"/>
        <scheme val="none"/>
      </font>
      <numFmt numFmtId="13" formatCode="0%"/>
      <fill>
        <patternFill patternType="solid">
          <bgColor theme="9" tint="0.79998168889431442"/>
        </patternFill>
      </fill>
      <alignment vertical="center" readingOrder="0"/>
    </dxf>
  </rfmt>
  <rfmt sheetId="43" sqref="G40" start="0" length="0">
    <dxf>
      <font>
        <sz val="11"/>
        <color theme="1"/>
        <name val="Arial Narrow"/>
        <scheme val="none"/>
      </font>
      <fill>
        <patternFill patternType="solid">
          <bgColor theme="0"/>
        </patternFill>
      </fill>
      <alignment vertical="center" readingOrder="0"/>
    </dxf>
  </rfmt>
  <rfmt sheetId="43" sqref="A41" start="0" length="0">
    <dxf>
      <font>
        <sz val="11"/>
        <color auto="1"/>
        <name val="Arial Narrow"/>
        <scheme val="none"/>
      </font>
      <fill>
        <patternFill patternType="solid">
          <bgColor theme="0"/>
        </patternFill>
      </fill>
      <alignment vertical="center" readingOrder="0"/>
    </dxf>
  </rfmt>
  <rfmt sheetId="43" sqref="B41" start="0" length="0">
    <dxf>
      <font>
        <sz val="11"/>
        <color auto="1"/>
        <name val="Arial Narrow"/>
        <scheme val="none"/>
      </font>
      <fill>
        <patternFill patternType="solid">
          <bgColor theme="0"/>
        </patternFill>
      </fill>
      <alignment vertical="center" readingOrder="0"/>
    </dxf>
  </rfmt>
  <rfmt sheetId="43" sqref="C41" start="0" length="0">
    <dxf>
      <font>
        <sz val="11"/>
        <color auto="1"/>
        <name val="Arial Narrow"/>
        <scheme val="none"/>
      </font>
      <fill>
        <patternFill patternType="solid">
          <bgColor theme="0"/>
        </patternFill>
      </fill>
      <alignment vertical="center" readingOrder="0"/>
    </dxf>
  </rfmt>
  <rfmt sheetId="43" sqref="D41" start="0" length="0">
    <dxf>
      <font>
        <sz val="11"/>
        <color auto="1"/>
        <name val="Arial Narrow"/>
        <scheme val="none"/>
      </font>
      <numFmt numFmtId="1" formatCode="0"/>
      <fill>
        <patternFill patternType="solid">
          <bgColor theme="0"/>
        </patternFill>
      </fill>
      <alignment vertical="center" readingOrder="0"/>
    </dxf>
  </rfmt>
  <rfmt sheetId="43" sqref="E41" start="0" length="0">
    <dxf>
      <font>
        <sz val="11"/>
        <color auto="1"/>
        <name val="Arial Narrow"/>
        <scheme val="none"/>
      </font>
      <numFmt numFmtId="1" formatCode="0"/>
      <fill>
        <patternFill patternType="solid">
          <bgColor theme="0"/>
        </patternFill>
      </fill>
      <alignment vertical="center" readingOrder="0"/>
    </dxf>
  </rfmt>
  <rfmt sheetId="43" sqref="F41" start="0" length="0">
    <dxf>
      <font>
        <sz val="11"/>
        <color auto="1"/>
        <name val="Arial Narrow"/>
        <scheme val="none"/>
      </font>
      <fill>
        <patternFill patternType="solid">
          <bgColor theme="0"/>
        </patternFill>
      </fill>
      <alignment vertical="center" readingOrder="0"/>
    </dxf>
  </rfmt>
  <rfmt sheetId="43" sqref="G41" start="0" length="0">
    <dxf>
      <font>
        <sz val="11"/>
        <color theme="1"/>
        <name val="Arial Narrow"/>
        <scheme val="none"/>
      </font>
      <fill>
        <patternFill patternType="solid">
          <bgColor theme="0"/>
        </patternFill>
      </fill>
      <alignment vertical="center" readingOrder="0"/>
    </dxf>
  </rfmt>
  <rcc rId="11930" sId="43" odxf="1" dxf="1">
    <nc r="A42" t="inlineStr">
      <is>
        <t>Стартовый металлический профиль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931" sId="43" odxf="1" dxf="1">
    <nc r="B42"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42" start="0" length="0">
    <dxf>
      <font>
        <b/>
        <sz val="11"/>
        <color auto="1"/>
        <name val="Arial Narrow"/>
        <scheme val="none"/>
      </font>
      <numFmt numFmtId="2" formatCode="0.00"/>
      <fill>
        <patternFill patternType="solid">
          <bgColor theme="0"/>
        </patternFill>
      </fill>
      <alignment horizontal="center" vertical="center" readingOrder="0"/>
    </dxf>
  </rfmt>
  <rfmt sheetId="43" sqref="D4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4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42"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42" start="0" length="0">
    <dxf>
      <font>
        <b/>
        <sz val="11"/>
        <color theme="1"/>
        <name val="Arial Narrow"/>
        <scheme val="none"/>
      </font>
      <fill>
        <patternFill patternType="solid">
          <bgColor theme="0"/>
        </patternFill>
      </fill>
      <alignment vertical="center" readingOrder="0"/>
    </dxf>
  </rfmt>
  <rcc rId="11932" sId="43" odxf="1" dxf="1">
    <nc r="A43" t="inlineStr">
      <is>
        <t>Стартовый металлический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33" sId="43" odxf="1" dxf="1">
    <nc r="B43">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43" start="0" length="0">
    <dxf>
      <font>
        <sz val="6"/>
        <color rgb="FFFF0000"/>
        <name val="Arial Narrow"/>
        <scheme val="none"/>
      </font>
      <numFmt numFmtId="2" formatCode="0.00"/>
      <fill>
        <patternFill patternType="solid">
          <bgColor theme="0"/>
        </patternFill>
      </fill>
      <alignment horizontal="center" vertical="center" readingOrder="0"/>
    </dxf>
  </rfmt>
  <rcc rId="11934" sId="43" odxf="1" dxf="1">
    <nc r="D43" t="inlineStr">
      <is>
        <t>143,51р.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35" sId="43" odxf="1" dxf="1">
    <nc r="E43" t="inlineStr">
      <is>
        <t>200,49р.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36" sId="43" odxf="1" dxf="1">
    <nc r="F43" t="inlineStr">
      <is>
        <t>211,04р.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43" start="0" length="0">
    <dxf>
      <font>
        <sz val="11"/>
        <color rgb="FF0000FF"/>
        <name val="Arial Narrow"/>
        <scheme val="none"/>
      </font>
      <fill>
        <patternFill patternType="solid">
          <bgColor theme="0"/>
        </patternFill>
      </fill>
      <alignment vertical="center" readingOrder="0"/>
    </dxf>
  </rfmt>
  <rfmt sheetId="43" sqref="A44" start="0" length="0">
    <dxf>
      <font>
        <sz val="11"/>
        <color theme="1"/>
        <name val="Arial Narrow"/>
        <scheme val="none"/>
      </font>
      <fill>
        <patternFill patternType="solid">
          <bgColor theme="0"/>
        </patternFill>
      </fill>
      <alignment vertical="center" readingOrder="0"/>
    </dxf>
  </rfmt>
  <rfmt sheetId="43" sqref="B44" start="0" length="0">
    <dxf>
      <font>
        <sz val="11"/>
        <color theme="1"/>
        <name val="Arial Narrow"/>
        <scheme val="none"/>
      </font>
      <alignment vertical="center" readingOrder="0"/>
    </dxf>
  </rfmt>
  <rfmt sheetId="43" sqref="C44" start="0" length="0">
    <dxf>
      <font>
        <sz val="11"/>
        <color auto="1"/>
        <name val="Arial Narrow"/>
        <scheme val="none"/>
      </font>
      <fill>
        <patternFill patternType="solid">
          <bgColor theme="0"/>
        </patternFill>
      </fill>
      <alignment vertical="center" readingOrder="0"/>
    </dxf>
  </rfmt>
  <rfmt sheetId="43" sqref="D44" start="0" length="0">
    <dxf>
      <font>
        <sz val="11"/>
        <color auto="1"/>
        <name val="Arial Narrow"/>
        <scheme val="none"/>
      </font>
      <alignment vertical="center" readingOrder="0"/>
    </dxf>
  </rfmt>
  <rcc rId="11937" sId="43" odxf="1" dxf="1">
    <nc r="E44" t="inlineStr">
      <is>
        <t>Действует с 08.04.2019</t>
      </is>
    </nc>
    <odxf>
      <font>
        <b val="0"/>
        <sz val="11"/>
        <color theme="1"/>
        <name val="Calibri"/>
        <scheme val="minor"/>
      </font>
      <fill>
        <patternFill patternType="none">
          <bgColor indexed="65"/>
        </patternFill>
      </fill>
      <alignment horizontal="general" vertical="bottom" wrapText="0" readingOrder="0"/>
    </odxf>
    <ndxf>
      <font>
        <b/>
        <sz val="11"/>
        <color auto="1"/>
        <name val="Arial Narrow"/>
        <scheme val="none"/>
      </font>
      <fill>
        <patternFill patternType="solid">
          <bgColor theme="0"/>
        </patternFill>
      </fill>
      <alignment horizontal="left" vertical="center" wrapText="1" readingOrder="0"/>
    </ndxf>
  </rcc>
  <rfmt sheetId="43" sqref="F44" start="0" length="0">
    <dxf>
      <alignment horizontal="left" vertical="center" wrapText="1" readingOrder="0"/>
    </dxf>
  </rfmt>
  <rfmt sheetId="43" sqref="G44" start="0" length="0">
    <dxf>
      <alignment horizontal="left" vertical="center" wrapText="1" readingOrder="0"/>
    </dxf>
  </rfmt>
  <rfmt sheetId="43" sqref="A45" start="0" length="0">
    <dxf>
      <font>
        <sz val="11"/>
        <color auto="1"/>
        <name val="Arial Narrow"/>
        <scheme val="none"/>
      </font>
      <fill>
        <patternFill patternType="solid">
          <bgColor theme="0"/>
        </patternFill>
      </fill>
      <alignment vertical="center" readingOrder="0"/>
    </dxf>
  </rfmt>
  <rfmt sheetId="43" sqref="B45" start="0" length="0">
    <dxf>
      <font>
        <sz val="11"/>
        <color auto="1"/>
        <name val="Arial Narrow"/>
        <scheme val="none"/>
      </font>
      <fill>
        <patternFill patternType="solid">
          <bgColor theme="0"/>
        </patternFill>
      </fill>
      <alignment vertical="center" readingOrder="0"/>
    </dxf>
  </rfmt>
  <rfmt sheetId="43" sqref="C45" start="0" length="0">
    <dxf>
      <font>
        <sz val="11"/>
        <color theme="1"/>
        <name val="Arial Narrow"/>
        <scheme val="none"/>
      </font>
      <fill>
        <patternFill patternType="solid">
          <bgColor theme="0"/>
        </patternFill>
      </fill>
      <alignment vertical="center" readingOrder="0"/>
    </dxf>
  </rfmt>
  <rfmt sheetId="43" sqref="D45" start="0" length="0">
    <dxf>
      <font>
        <sz val="11"/>
        <color auto="1"/>
        <name val="Arial Narrow"/>
        <scheme val="none"/>
      </font>
      <numFmt numFmtId="1" formatCode="0"/>
      <fill>
        <patternFill patternType="solid">
          <bgColor theme="0"/>
        </patternFill>
      </fill>
      <alignment vertical="center" readingOrder="0"/>
    </dxf>
  </rfmt>
  <rfmt sheetId="43" sqref="E45" start="0" length="0">
    <dxf>
      <font>
        <sz val="11"/>
        <color auto="1"/>
        <name val="Arial Narrow"/>
        <scheme val="none"/>
      </font>
      <numFmt numFmtId="1" formatCode="0"/>
      <fill>
        <patternFill patternType="solid">
          <bgColor theme="0"/>
        </patternFill>
      </fill>
      <alignment vertical="center" readingOrder="0"/>
    </dxf>
  </rfmt>
  <rfmt sheetId="43" sqref="F45" start="0" length="0">
    <dxf>
      <font>
        <sz val="11"/>
        <color theme="1"/>
        <name val="Arial Narrow"/>
        <scheme val="none"/>
      </font>
      <fill>
        <patternFill patternType="solid">
          <bgColor theme="0"/>
        </patternFill>
      </fill>
      <alignment vertical="center" readingOrder="0"/>
    </dxf>
  </rfmt>
  <rfmt sheetId="43" sqref="G45" start="0" length="0">
    <dxf>
      <font>
        <sz val="11"/>
        <color theme="1"/>
        <name val="Arial Narrow"/>
        <scheme val="none"/>
      </font>
      <fill>
        <patternFill patternType="solid">
          <bgColor theme="0"/>
        </patternFill>
      </fill>
      <alignment vertical="center" readingOrder="0"/>
    </dxf>
  </rfmt>
  <rrc rId="11938" sId="43" ref="A5:XFD5" action="deleteRow">
    <rfmt sheetId="43" xfDxf="1" sqref="A5:XFD5" start="0" length="0"/>
    <rfmt sheetId="43" sqref="A5" start="0" length="0">
      <dxf>
        <font>
          <sz val="11"/>
          <color theme="1"/>
          <name val="Arial Narrow"/>
          <scheme val="none"/>
        </font>
        <fill>
          <patternFill patternType="solid">
            <bgColor theme="0"/>
          </patternFill>
        </fill>
        <alignment vertical="center" readingOrder="0"/>
      </dxf>
    </rfmt>
    <rfmt sheetId="43" sqref="B5" start="0" length="0">
      <dxf>
        <font>
          <sz val="11"/>
          <color theme="1"/>
          <name val="Arial Narrow"/>
          <scheme val="none"/>
        </font>
        <fill>
          <patternFill patternType="solid">
            <bgColor theme="0"/>
          </patternFill>
        </fill>
        <alignment vertical="center" readingOrder="0"/>
      </dxf>
    </rfmt>
    <rfmt sheetId="43" sqref="C5" start="0" length="0">
      <dxf>
        <font>
          <sz val="11"/>
          <color auto="1"/>
          <name val="Arial Narrow"/>
          <scheme val="none"/>
        </font>
        <fill>
          <patternFill patternType="solid">
            <bgColor theme="0"/>
          </patternFill>
        </fill>
        <alignment vertical="center" readingOrder="0"/>
      </dxf>
    </rfmt>
    <rfmt sheetId="43" sqref="D5" start="0" length="0">
      <dxf>
        <font>
          <sz val="11"/>
          <color auto="1"/>
          <name val="Arial Narrow"/>
          <scheme val="none"/>
        </font>
        <fill>
          <patternFill patternType="solid">
            <bgColor theme="0"/>
          </patternFill>
        </fill>
        <alignment vertical="center" readingOrder="0"/>
      </dxf>
    </rfmt>
    <rfmt sheetId="43" sqref="E5" start="0" length="0">
      <dxf>
        <font>
          <sz val="11"/>
          <color auto="1"/>
          <name val="Arial Narrow"/>
          <scheme val="none"/>
        </font>
        <fill>
          <patternFill patternType="solid">
            <bgColor theme="0"/>
          </patternFill>
        </fill>
        <alignment vertical="center" readingOrder="0"/>
      </dxf>
    </rfmt>
    <rfmt sheetId="43" sqref="F5" start="0" length="0">
      <dxf>
        <font>
          <sz val="11"/>
          <color auto="1"/>
          <name val="Arial Narrow"/>
          <scheme val="none"/>
        </font>
        <fill>
          <patternFill patternType="solid">
            <bgColor theme="0"/>
          </patternFill>
        </fill>
        <alignment vertical="center" readingOrder="0"/>
      </dxf>
    </rfmt>
    <rfmt sheetId="43" sqref="G5" start="0" length="0">
      <dxf>
        <font>
          <sz val="11"/>
          <color theme="1"/>
          <name val="Arial Narrow"/>
          <scheme val="none"/>
        </font>
        <fill>
          <patternFill patternType="solid">
            <bgColor theme="0"/>
          </patternFill>
        </fill>
        <alignment vertical="center" readingOrder="0"/>
      </dxf>
    </rfmt>
  </rrc>
  <rrc rId="11939" sId="43" ref="A3:XFD3" action="deleteRow">
    <rfmt sheetId="43" xfDxf="1" sqref="A3:XFD3" start="0" length="0"/>
  </rrc>
  <rcc rId="11940" sId="43"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2"/>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3" sqref="B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C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D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E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F1" start="0" length="0">
    <dxf>
      <font>
        <sz val="22"/>
        <color theme="1"/>
        <name val="Calibri"/>
        <scheme val="minor"/>
      </font>
      <fill>
        <patternFill patternType="solid">
          <bgColor rgb="FF00B0F0"/>
        </patternFill>
      </fill>
      <border outline="0">
        <right style="medium">
          <color indexed="64"/>
        </right>
        <top style="medium">
          <color indexed="64"/>
        </top>
        <bottom style="medium">
          <color indexed="64"/>
        </bottom>
      </border>
    </dxf>
  </rfmt>
  <rrc rId="11941" sId="43" ref="A2:XFD2" action="deleteRow">
    <rfmt sheetId="43" xfDxf="1" sqref="A2:XFD2" start="0" length="0"/>
  </rrc>
  <rfmt sheetId="43" sqref="E41:F41">
    <dxf>
      <alignment horizontal="right" readingOrder="0"/>
    </dxf>
  </rfmt>
  <rfmt sheetId="43" sqref="E41:F41">
    <dxf>
      <alignment horizontal="center" readingOrder="0"/>
    </dxf>
  </rfmt>
  <rfmt sheetId="43" sqref="E41:F41">
    <dxf>
      <alignment horizontal="right" readingOrder="0"/>
    </dxf>
  </rfmt>
  <rm rId="11942" sheetId="43" source="E41" destination="F41" sourceSheetId="43">
    <rfmt sheetId="43" sqref="F41" start="0" length="0">
      <dxf>
        <alignment horizontal="right" vertical="center" wrapText="1" readingOrder="0"/>
      </dxf>
    </rfmt>
  </rm>
  <ris rId="11943" sheetId="44" name="[ПРАЙС ЦЕНТР-ТИМ 2019 обновленный.xlsx]Чердач Лестницы ДЕКЕ" sheetPosition="43"/>
  <rcc rId="11944" sId="44" odxf="1" dxf="1">
    <nc r="A4" t="inlineStr">
      <is>
        <t xml:space="preserve">Чердачные лестницы DÖCKE.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4" sqref="B4" start="0" length="0">
    <dxf>
      <font>
        <b/>
        <sz val="11"/>
        <color theme="1"/>
        <name val="Arial Narrow"/>
        <scheme val="none"/>
      </font>
      <fill>
        <patternFill patternType="solid">
          <bgColor theme="0"/>
        </patternFill>
      </fill>
      <alignment vertical="center" readingOrder="0"/>
    </dxf>
  </rfmt>
  <rfmt sheetId="44" sqref="C4" start="0" length="0">
    <dxf>
      <font>
        <sz val="6"/>
        <color auto="1"/>
        <name val="Arial Narrow"/>
        <scheme val="none"/>
      </font>
      <fill>
        <patternFill patternType="solid">
          <bgColor theme="0"/>
        </patternFill>
      </fill>
      <alignment vertical="center" readingOrder="0"/>
    </dxf>
  </rfmt>
  <rfmt sheetId="44" sqref="D4" start="0" length="0">
    <dxf>
      <font>
        <b/>
        <sz val="11"/>
        <color auto="1"/>
        <name val="Arial Narrow"/>
        <scheme val="none"/>
      </font>
      <fill>
        <patternFill patternType="solid">
          <bgColor theme="0"/>
        </patternFill>
      </fill>
      <alignment horizontal="right" vertical="center" readingOrder="0"/>
    </dxf>
  </rfmt>
  <rfmt sheetId="44" sqref="E4" start="0" length="0">
    <dxf>
      <font>
        <b/>
        <sz val="11"/>
        <color auto="1"/>
        <name val="Arial Narrow"/>
        <scheme val="none"/>
      </font>
      <fill>
        <patternFill patternType="solid">
          <bgColor theme="0"/>
        </patternFill>
      </fill>
      <alignment horizontal="right" vertical="center" readingOrder="0"/>
    </dxf>
  </rfmt>
  <rfmt sheetId="44" sqref="F4" start="0" length="0">
    <dxf>
      <font>
        <b/>
        <sz val="11"/>
        <color auto="1"/>
        <name val="Arial Narrow"/>
        <scheme val="none"/>
      </font>
      <fill>
        <patternFill patternType="solid">
          <bgColor theme="0"/>
        </patternFill>
      </fill>
      <alignment horizontal="right" vertical="center" readingOrder="0"/>
    </dxf>
  </rfmt>
  <rfmt sheetId="44" sqref="G4" start="0" length="0">
    <dxf>
      <font>
        <b/>
        <sz val="16"/>
        <color auto="1"/>
        <name val="Arial Narrow"/>
        <scheme val="none"/>
      </font>
      <fill>
        <patternFill patternType="solid">
          <bgColor theme="0"/>
        </patternFill>
      </fill>
      <alignment vertical="center" readingOrder="0"/>
    </dxf>
  </rfmt>
  <rfmt sheetId="44" sqref="A5" start="0" length="0">
    <dxf>
      <font>
        <sz val="11"/>
        <color theme="1"/>
        <name val="Arial Narrow"/>
        <scheme val="none"/>
      </font>
      <fill>
        <patternFill patternType="solid">
          <bgColor theme="0"/>
        </patternFill>
      </fill>
      <alignment vertical="center" readingOrder="0"/>
    </dxf>
  </rfmt>
  <rfmt sheetId="44" sqref="B5" start="0" length="0">
    <dxf>
      <font>
        <sz val="11"/>
        <color theme="1"/>
        <name val="Arial Narrow"/>
        <scheme val="none"/>
      </font>
      <fill>
        <patternFill patternType="solid">
          <bgColor theme="0"/>
        </patternFill>
      </fill>
      <alignment vertical="center" readingOrder="0"/>
    </dxf>
  </rfmt>
  <rfmt sheetId="44" sqref="C5" start="0" length="0">
    <dxf>
      <font>
        <sz val="6"/>
        <color auto="1"/>
        <name val="Arial Narrow"/>
        <scheme val="none"/>
      </font>
      <fill>
        <patternFill patternType="solid">
          <bgColor theme="0"/>
        </patternFill>
      </fill>
      <alignment vertical="center" readingOrder="0"/>
    </dxf>
  </rfmt>
  <rfmt sheetId="44" sqref="D5" start="0" length="0">
    <dxf>
      <font>
        <sz val="11"/>
        <color auto="1"/>
        <name val="Arial Narrow"/>
        <scheme val="none"/>
      </font>
      <fill>
        <patternFill patternType="solid">
          <bgColor theme="0"/>
        </patternFill>
      </fill>
      <alignment vertical="center" readingOrder="0"/>
    </dxf>
  </rfmt>
  <rfmt sheetId="44" sqref="E5" start="0" length="0">
    <dxf>
      <font>
        <sz val="11"/>
        <color auto="1"/>
        <name val="Arial Narrow"/>
        <scheme val="none"/>
      </font>
      <fill>
        <patternFill patternType="solid">
          <bgColor theme="0"/>
        </patternFill>
      </fill>
      <alignment vertical="center" readingOrder="0"/>
    </dxf>
  </rfmt>
  <rfmt sheetId="44" sqref="F5" start="0" length="0">
    <dxf>
      <font>
        <sz val="11"/>
        <color auto="1"/>
        <name val="Arial Narrow"/>
        <scheme val="none"/>
      </font>
      <fill>
        <patternFill patternType="solid">
          <bgColor theme="0"/>
        </patternFill>
      </fill>
      <alignment vertical="center" readingOrder="0"/>
    </dxf>
  </rfmt>
  <rfmt sheetId="44" sqref="G5" start="0" length="0">
    <dxf>
      <font>
        <sz val="11"/>
        <color theme="1"/>
        <name val="Arial Narrow"/>
        <scheme val="none"/>
      </font>
      <fill>
        <patternFill patternType="solid">
          <bgColor theme="0"/>
        </patternFill>
      </fill>
      <alignment vertical="center" readingOrder="0"/>
    </dxf>
  </rfmt>
  <rfmt sheetId="44" sqref="A6" start="0" length="0">
    <dxf>
      <font>
        <sz val="11"/>
        <color theme="1"/>
        <name val="Arial Narrow"/>
        <scheme val="none"/>
      </font>
      <fill>
        <patternFill patternType="solid">
          <bgColor rgb="FF92D050"/>
        </patternFill>
      </fill>
      <alignment vertical="center" readingOrder="0"/>
    </dxf>
  </rfmt>
  <rfmt sheetId="44" sqref="B6" start="0" length="0">
    <dxf>
      <font>
        <sz val="11"/>
        <color theme="1"/>
        <name val="Arial Narrow"/>
        <scheme val="none"/>
      </font>
      <fill>
        <patternFill patternType="solid">
          <bgColor rgb="FF92D050"/>
        </patternFill>
      </fill>
      <alignment vertical="center" readingOrder="0"/>
    </dxf>
  </rfmt>
  <rfmt sheetId="44" sqref="C6" start="0" length="0">
    <dxf>
      <font>
        <sz val="6"/>
        <color auto="1"/>
        <name val="Arial Narrow"/>
        <scheme val="none"/>
      </font>
      <fill>
        <patternFill patternType="solid">
          <bgColor theme="0"/>
        </patternFill>
      </fill>
      <alignment vertical="center" readingOrder="0"/>
    </dxf>
  </rfmt>
  <rfmt sheetId="44" sqref="D6" start="0" length="0">
    <dxf>
      <font>
        <b/>
        <sz val="11"/>
        <color auto="1"/>
        <name val="Arial Narrow"/>
        <scheme val="none"/>
      </font>
      <fill>
        <patternFill patternType="solid">
          <bgColor theme="5" tint="0.39997558519241921"/>
        </patternFill>
      </fill>
      <alignment horizontal="center" vertical="center" readingOrder="0"/>
    </dxf>
  </rfmt>
  <rfmt sheetId="44" sqref="E6" start="0" length="0">
    <dxf>
      <font>
        <b/>
        <sz val="11"/>
        <color auto="1"/>
        <name val="Arial Narrow"/>
        <scheme val="none"/>
      </font>
      <fill>
        <patternFill patternType="solid">
          <bgColor rgb="FFFFFF00"/>
        </patternFill>
      </fill>
      <alignment horizontal="center" vertical="center" readingOrder="0"/>
    </dxf>
  </rfmt>
  <rfmt sheetId="44" sqref="F6" start="0" length="0">
    <dxf>
      <font>
        <b/>
        <sz val="11"/>
        <color auto="1"/>
        <name val="Arial Narrow"/>
        <scheme val="none"/>
      </font>
      <fill>
        <patternFill patternType="solid">
          <bgColor rgb="FFCCFFCC"/>
        </patternFill>
      </fill>
      <alignment horizontal="center" vertical="center" readingOrder="0"/>
    </dxf>
  </rfmt>
  <rfmt sheetId="44" sqref="G6" start="0" length="0">
    <dxf>
      <font>
        <sz val="11"/>
        <color theme="1"/>
        <name val="Arial Narrow"/>
        <scheme val="none"/>
      </font>
      <fill>
        <patternFill patternType="solid">
          <bgColor theme="0"/>
        </patternFill>
      </fill>
      <alignment vertical="center" readingOrder="0"/>
    </dxf>
  </rfmt>
  <rcc rId="11945" sId="44"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946" sId="44"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4" sqref="C7" start="0" length="0">
    <dxf>
      <font>
        <b/>
        <u/>
        <sz val="12"/>
        <color auto="1"/>
        <name val="Arial Narrow"/>
        <scheme val="none"/>
      </font>
      <fill>
        <patternFill patternType="solid">
          <bgColor theme="0"/>
        </patternFill>
      </fill>
      <alignment horizontal="center" vertical="center" wrapText="1" readingOrder="0"/>
    </dxf>
  </rfmt>
  <rfmt sheetId="44"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947" sId="44"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48" sId="44"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4" sqref="G7" start="0" length="0">
    <dxf>
      <font>
        <sz val="9"/>
        <color theme="1"/>
        <name val="Arial Narrow"/>
        <scheme val="none"/>
      </font>
      <fill>
        <patternFill patternType="solid">
          <bgColor theme="0"/>
        </patternFill>
      </fill>
      <alignment horizontal="center" vertical="center" readingOrder="0"/>
    </dxf>
  </rfmt>
  <rfmt sheetId="44" sqref="A8" start="0" length="0">
    <dxf>
      <font>
        <sz val="11"/>
        <color auto="1"/>
        <name val="Arial Narrow"/>
        <scheme val="none"/>
      </font>
      <alignment vertical="center" readingOrder="0"/>
    </dxf>
  </rfmt>
  <rfmt sheetId="44" sqref="B8" start="0" length="0">
    <dxf>
      <font>
        <sz val="11"/>
        <color auto="1"/>
        <name val="Arial Narrow"/>
        <scheme val="none"/>
      </font>
      <alignment vertical="center" readingOrder="0"/>
    </dxf>
  </rfmt>
  <rfmt sheetId="44" sqref="C8" start="0" length="0">
    <dxf>
      <font>
        <sz val="6"/>
        <color auto="1"/>
        <name val="Arial Narrow"/>
        <scheme val="none"/>
      </font>
      <numFmt numFmtId="2" formatCode="0.00"/>
      <fill>
        <patternFill patternType="solid">
          <bgColor theme="0"/>
        </patternFill>
      </fill>
      <alignment horizontal="center" vertical="center" readingOrder="0"/>
    </dxf>
  </rfmt>
  <rfmt sheetId="44" sqref="D8" start="0" length="0">
    <dxf>
      <font>
        <sz val="11"/>
        <color auto="1"/>
        <name val="Arial Narrow"/>
        <scheme val="none"/>
      </font>
      <numFmt numFmtId="167" formatCode="#,##0.00&quot;р.&quot;"/>
      <fill>
        <patternFill patternType="solid">
          <bgColor theme="0"/>
        </patternFill>
      </fill>
      <alignment vertical="center" readingOrder="0"/>
    </dxf>
  </rfmt>
  <rfmt sheetId="44" sqref="E8" start="0" length="0">
    <dxf>
      <font>
        <sz val="11"/>
        <color auto="1"/>
        <name val="Arial Narrow"/>
        <scheme val="none"/>
      </font>
      <numFmt numFmtId="167" formatCode="#,##0.00&quot;р.&quot;"/>
      <fill>
        <patternFill patternType="solid">
          <bgColor theme="0"/>
        </patternFill>
      </fill>
      <alignment vertical="center" readingOrder="0"/>
    </dxf>
  </rfmt>
  <rfmt sheetId="44" sqref="F8" start="0" length="0">
    <dxf>
      <font>
        <sz val="11"/>
        <color auto="1"/>
        <name val="Arial Narrow"/>
        <scheme val="none"/>
      </font>
      <numFmt numFmtId="167" formatCode="#,##0.00&quot;р.&quot;"/>
      <fill>
        <patternFill patternType="solid">
          <bgColor theme="0"/>
        </patternFill>
      </fill>
      <alignment vertical="center" readingOrder="0"/>
    </dxf>
  </rfmt>
  <rfmt sheetId="44" sqref="G8" start="0" length="0">
    <dxf>
      <font>
        <sz val="11"/>
        <color theme="1"/>
        <name val="Arial Narrow"/>
        <scheme val="none"/>
      </font>
      <fill>
        <patternFill patternType="solid">
          <bgColor theme="0"/>
        </patternFill>
      </fill>
      <alignment vertical="center" readingOrder="0"/>
    </dxf>
  </rfmt>
  <rcc rId="11949" sId="44" odxf="1" dxf="1">
    <nc r="A9" t="inlineStr">
      <is>
        <t xml:space="preserve">Чердачные лестницы Döcke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950" sId="44"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4" sqref="C9" start="0" length="0">
    <dxf>
      <font>
        <b/>
        <sz val="6"/>
        <color auto="1"/>
        <name val="Arial Narrow"/>
        <scheme val="none"/>
      </font>
      <numFmt numFmtId="2" formatCode="0.00"/>
      <fill>
        <patternFill patternType="solid">
          <bgColor theme="0"/>
        </patternFill>
      </fill>
      <alignment horizontal="center" vertical="center" readingOrder="0"/>
    </dxf>
  </rfmt>
  <rfmt sheetId="44"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4" sqref="G9" start="0" length="0">
    <dxf>
      <font>
        <b/>
        <sz val="11"/>
        <color theme="1"/>
        <name val="Arial Narrow"/>
        <scheme val="none"/>
      </font>
      <fill>
        <patternFill patternType="solid">
          <bgColor theme="0"/>
        </patternFill>
      </fill>
      <alignment vertical="center" readingOrder="0"/>
    </dxf>
  </rfmt>
  <rcc rId="11951" sId="44" odxf="1" dxf="1">
    <nc r="A10" t="inlineStr">
      <is>
        <t>Чердачная лестница DACHA 60*120*280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52" sId="44" odxf="1" dxf="1">
    <nc r="B10">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0" start="0" length="0">
    <dxf>
      <font>
        <sz val="6"/>
        <color auto="1"/>
        <name val="Arial Narrow"/>
        <scheme val="none"/>
      </font>
      <numFmt numFmtId="2" formatCode="0.00"/>
      <fill>
        <patternFill patternType="solid">
          <bgColor theme="0"/>
        </patternFill>
      </fill>
      <alignment horizontal="center" vertical="center" readingOrder="0"/>
    </dxf>
  </rfmt>
  <rcc rId="11953" sId="44" odxf="1" dxf="1">
    <nc r="D10" t="inlineStr">
      <is>
        <t>4 992,48р.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54" sId="44" odxf="1" dxf="1">
    <nc r="E10" t="inlineStr">
      <is>
        <t>5 304,51р.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55" sId="44" odxf="1" dxf="1">
    <nc r="F10" t="inlineStr">
      <is>
        <t>6 240,60р.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0" start="0" length="0">
    <dxf>
      <font>
        <sz val="11"/>
        <color rgb="FF0000FF"/>
        <name val="Arial Narrow"/>
        <scheme val="none"/>
      </font>
      <fill>
        <patternFill patternType="solid">
          <bgColor theme="0"/>
        </patternFill>
      </fill>
      <alignment vertical="center" readingOrder="0"/>
    </dxf>
  </rfmt>
  <rcc rId="11956" sId="44" odxf="1" dxf="1">
    <nc r="A11" t="inlineStr">
      <is>
        <t>Чердачная лестница STANDARD 60*120*300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57" sId="44" odxf="1" dxf="1">
    <nc r="B11">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1" start="0" length="0">
    <dxf>
      <font>
        <sz val="6"/>
        <color auto="1"/>
        <name val="Arial Narrow"/>
        <scheme val="none"/>
      </font>
      <numFmt numFmtId="2" formatCode="0.00"/>
      <fill>
        <patternFill patternType="solid">
          <bgColor theme="0"/>
        </patternFill>
      </fill>
      <alignment horizontal="center" vertical="center" readingOrder="0"/>
    </dxf>
  </rfmt>
  <rcc rId="11958" sId="44" odxf="1" dxf="1">
    <nc r="D11" t="inlineStr">
      <is>
        <t>5 971,73р.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59" sId="44" odxf="1" dxf="1">
    <nc r="E11" t="inlineStr">
      <is>
        <t>6 344,96р.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0" sId="44" odxf="1" dxf="1">
    <nc r="F11" t="inlineStr">
      <is>
        <t>7 464,66р.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1" start="0" length="0">
    <dxf>
      <font>
        <sz val="11"/>
        <color rgb="FF0000FF"/>
        <name val="Arial Narrow"/>
        <scheme val="none"/>
      </font>
      <fill>
        <patternFill patternType="solid">
          <bgColor theme="0"/>
        </patternFill>
      </fill>
      <alignment vertical="center" readingOrder="0"/>
    </dxf>
  </rfmt>
  <rcc rId="11961" sId="44" odxf="1" dxf="1">
    <nc r="A12" t="inlineStr">
      <is>
        <t>Чердачная лестница PREMIUM 70*120*300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62" sId="44" odxf="1" dxf="1">
    <nc r="B12">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2" start="0" length="0">
    <dxf>
      <font>
        <sz val="6"/>
        <color auto="1"/>
        <name val="Arial Narrow"/>
        <scheme val="none"/>
      </font>
      <numFmt numFmtId="2" formatCode="0.00"/>
      <fill>
        <patternFill patternType="solid">
          <bgColor theme="0"/>
        </patternFill>
      </fill>
      <alignment horizontal="center" vertical="center" readingOrder="0"/>
    </dxf>
  </rfmt>
  <rcc rId="11963" sId="44" odxf="1" dxf="1">
    <nc r="D12" t="inlineStr">
      <is>
        <t>6 626,17р.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4" sId="44" odxf="1" dxf="1">
    <nc r="E12" t="inlineStr">
      <is>
        <t>7 040,30р.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5" sId="44" odxf="1" dxf="1">
    <nc r="F12" t="inlineStr">
      <is>
        <t>8 282,71р.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2" start="0" length="0">
    <dxf>
      <font>
        <sz val="11"/>
        <color rgb="FF0000FF"/>
        <name val="Arial Narrow"/>
        <scheme val="none"/>
      </font>
      <fill>
        <patternFill patternType="solid">
          <bgColor theme="0"/>
        </patternFill>
      </fill>
      <alignment vertical="center" readingOrder="0"/>
    </dxf>
  </rfmt>
  <rcc rId="11966" sId="44" odxf="1" dxf="1">
    <nc r="A13" t="inlineStr">
      <is>
        <t>Чердачная лестница LUX 70*120*300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67" sId="44" odxf="1" dxf="1">
    <nc r="B13">
      <v>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3" start="0" length="0">
    <dxf>
      <font>
        <sz val="6"/>
        <color auto="1"/>
        <name val="Arial Narrow"/>
        <scheme val="none"/>
      </font>
      <numFmt numFmtId="2" formatCode="0.00"/>
      <fill>
        <patternFill patternType="solid">
          <bgColor theme="0"/>
        </patternFill>
      </fill>
      <alignment horizontal="center" vertical="center" readingOrder="0"/>
    </dxf>
  </rfmt>
  <rcc rId="11968" sId="44" odxf="1" dxf="1">
    <nc r="D13" t="inlineStr">
      <is>
        <t>15 084,51р.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9" sId="44" odxf="1" dxf="1">
    <nc r="E13" t="inlineStr">
      <is>
        <t>16 027,29р.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70" sId="44" odxf="1" dxf="1">
    <nc r="F13" t="inlineStr">
      <is>
        <t>18 855,64р.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3" start="0" length="0">
    <dxf>
      <font>
        <sz val="11"/>
        <color rgb="FF0000FF"/>
        <name val="Arial Narrow"/>
        <scheme val="none"/>
      </font>
      <fill>
        <patternFill patternType="solid">
          <bgColor theme="0"/>
        </patternFill>
      </fill>
      <alignment vertical="center" readingOrder="0"/>
    </dxf>
  </rfmt>
  <rfmt sheetId="44" sqref="A14" start="0" length="0">
    <dxf>
      <font>
        <sz val="11"/>
        <color theme="1"/>
        <name val="Arial Narrow"/>
        <scheme val="none"/>
      </font>
      <fill>
        <patternFill patternType="solid">
          <bgColor theme="0"/>
        </patternFill>
      </fill>
      <alignment vertical="center" readingOrder="0"/>
    </dxf>
  </rfmt>
  <rfmt sheetId="44" sqref="B14" start="0" length="0">
    <dxf>
      <font>
        <sz val="11"/>
        <color theme="1"/>
        <name val="Arial Narrow"/>
        <scheme val="none"/>
      </font>
      <fill>
        <patternFill patternType="solid">
          <bgColor theme="0"/>
        </patternFill>
      </fill>
      <alignment vertical="center" readingOrder="0"/>
    </dxf>
  </rfmt>
  <rfmt sheetId="44" sqref="C14" start="0" length="0">
    <dxf>
      <font>
        <sz val="6"/>
        <color auto="1"/>
        <name val="Arial Narrow"/>
        <scheme val="none"/>
      </font>
      <fill>
        <patternFill patternType="solid">
          <bgColor theme="0"/>
        </patternFill>
      </fill>
      <alignment vertical="center" readingOrder="0"/>
    </dxf>
  </rfmt>
  <rfmt sheetId="44" sqref="D14" start="0" length="0">
    <dxf>
      <font>
        <sz val="11"/>
        <color auto="1"/>
        <name val="Arial Narrow"/>
        <scheme val="none"/>
      </font>
      <numFmt numFmtId="13" formatCode="0%"/>
      <fill>
        <patternFill patternType="solid">
          <bgColor theme="9" tint="0.79998168889431442"/>
        </patternFill>
      </fill>
      <alignment vertical="center" readingOrder="0"/>
    </dxf>
  </rfmt>
  <rfmt sheetId="44" sqref="E14" start="0" length="0">
    <dxf>
      <font>
        <sz val="11"/>
        <color auto="1"/>
        <name val="Arial Narrow"/>
        <scheme val="none"/>
      </font>
      <numFmt numFmtId="13" formatCode="0%"/>
      <fill>
        <patternFill patternType="solid">
          <bgColor theme="9" tint="0.79998168889431442"/>
        </patternFill>
      </fill>
      <alignment vertical="center" readingOrder="0"/>
    </dxf>
  </rfmt>
  <rfmt sheetId="44" sqref="F14" start="0" length="0">
    <dxf>
      <font>
        <sz val="11"/>
        <color auto="1"/>
        <name val="Arial Narrow"/>
        <scheme val="none"/>
      </font>
      <numFmt numFmtId="13" formatCode="0%"/>
      <fill>
        <patternFill patternType="solid">
          <bgColor theme="9" tint="0.79998168889431442"/>
        </patternFill>
      </fill>
      <alignment vertical="center" readingOrder="0"/>
    </dxf>
  </rfmt>
  <rfmt sheetId="44" sqref="G14" start="0" length="0">
    <dxf>
      <font>
        <sz val="11"/>
        <color theme="1"/>
        <name val="Arial Narrow"/>
        <scheme val="none"/>
      </font>
      <fill>
        <patternFill patternType="solid">
          <bgColor theme="0"/>
        </patternFill>
      </fill>
      <alignment vertical="center" readingOrder="0"/>
    </dxf>
  </rfmt>
  <rfmt sheetId="44" sqref="A15" start="0" length="0">
    <dxf>
      <font>
        <sz val="11"/>
        <color theme="1"/>
        <name val="Arial Narrow"/>
        <scheme val="none"/>
      </font>
      <fill>
        <patternFill patternType="solid">
          <bgColor theme="0"/>
        </patternFill>
      </fill>
      <alignment vertical="center" readingOrder="0"/>
    </dxf>
  </rfmt>
  <rfmt sheetId="44" sqref="B15" start="0" length="0">
    <dxf>
      <font>
        <sz val="11"/>
        <color theme="1"/>
        <name val="Arial Narrow"/>
        <scheme val="none"/>
      </font>
      <fill>
        <patternFill patternType="solid">
          <bgColor theme="0"/>
        </patternFill>
      </fill>
      <alignment vertical="center" readingOrder="0"/>
    </dxf>
  </rfmt>
  <rfmt sheetId="44" sqref="C15" start="0" length="0">
    <dxf>
      <font>
        <sz val="6"/>
        <color auto="1"/>
        <name val="Arial Narrow"/>
        <scheme val="none"/>
      </font>
      <numFmt numFmtId="167" formatCode="#,##0.00&quot;р.&quot;"/>
      <fill>
        <patternFill patternType="solid">
          <bgColor theme="0"/>
        </patternFill>
      </fill>
      <alignment vertical="center" readingOrder="0"/>
    </dxf>
  </rfmt>
  <rfmt sheetId="44" sqref="D15" start="0" length="0">
    <dxf>
      <font>
        <sz val="11"/>
        <color auto="1"/>
        <name val="Arial Narrow"/>
        <scheme val="none"/>
      </font>
      <numFmt numFmtId="167" formatCode="#,##0.00&quot;р.&quot;"/>
      <fill>
        <patternFill patternType="solid">
          <bgColor theme="0"/>
        </patternFill>
      </fill>
      <alignment vertical="center" readingOrder="0"/>
    </dxf>
  </rfmt>
  <rfmt sheetId="44" sqref="E15" start="0" length="0">
    <dxf>
      <font>
        <sz val="11"/>
        <color auto="1"/>
        <name val="Arial Narrow"/>
        <scheme val="none"/>
      </font>
      <numFmt numFmtId="167" formatCode="#,##0.00&quot;р.&quot;"/>
      <fill>
        <patternFill patternType="solid">
          <bgColor theme="0"/>
        </patternFill>
      </fill>
      <alignment vertical="center" readingOrder="0"/>
    </dxf>
  </rfmt>
  <rfmt sheetId="44" sqref="F15" start="0" length="0">
    <dxf>
      <font>
        <sz val="11"/>
        <color auto="1"/>
        <name val="Arial Narrow"/>
        <scheme val="none"/>
      </font>
      <numFmt numFmtId="167" formatCode="#,##0.00&quot;р.&quot;"/>
      <fill>
        <patternFill patternType="solid">
          <bgColor theme="0"/>
        </patternFill>
      </fill>
      <alignment vertical="center" readingOrder="0"/>
    </dxf>
  </rfmt>
  <rfmt sheetId="44" sqref="G15" start="0" length="0">
    <dxf>
      <font>
        <sz val="11"/>
        <color theme="1"/>
        <name val="Arial Narrow"/>
        <scheme val="none"/>
      </font>
      <fill>
        <patternFill patternType="solid">
          <bgColor theme="0"/>
        </patternFill>
      </fill>
      <alignment vertical="center" readingOrder="0"/>
    </dxf>
  </rfmt>
  <rcc rId="11971" sId="44" odxf="1" dxf="1">
    <nc r="A16" t="inlineStr">
      <is>
        <t xml:space="preserve">Аксессуары к чердачным лестницам Döcke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972" sId="44" odxf="1" dxf="1">
    <nc r="B16"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4" sqref="C16" start="0" length="0">
    <dxf>
      <font>
        <b/>
        <sz val="6"/>
        <color auto="1"/>
        <name val="Arial Narrow"/>
        <scheme val="none"/>
      </font>
      <numFmt numFmtId="2" formatCode="0.00"/>
      <fill>
        <patternFill patternType="solid">
          <bgColor theme="0"/>
        </patternFill>
      </fill>
      <alignment horizontal="center" vertical="center" readingOrder="0"/>
    </dxf>
  </rfmt>
  <rfmt sheetId="44" sqref="D1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E1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F16"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4" sqref="G16" start="0" length="0">
    <dxf>
      <font>
        <b/>
        <sz val="11"/>
        <color theme="1"/>
        <name val="Arial Narrow"/>
        <scheme val="none"/>
      </font>
      <fill>
        <patternFill patternType="solid">
          <bgColor theme="0"/>
        </patternFill>
      </fill>
      <alignment vertical="center" readingOrder="0"/>
    </dxf>
  </rfmt>
  <rcc rId="11973" sId="44" odxf="1" dxf="1">
    <nc r="A17" t="inlineStr">
      <is>
        <t>Наконечники, компл.</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74" sId="44" odxf="1" dxf="1">
    <nc r="B17">
      <v>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7" start="0" length="0">
    <dxf>
      <font>
        <sz val="6"/>
        <color auto="1"/>
        <name val="Arial Narrow"/>
        <scheme val="none"/>
      </font>
      <numFmt numFmtId="2" formatCode="0.00"/>
      <fill>
        <patternFill patternType="solid">
          <bgColor theme="0"/>
        </patternFill>
      </fill>
      <alignment horizontal="center" vertical="center" readingOrder="0"/>
    </dxf>
  </rfmt>
  <rcc rId="11975" sId="44" odxf="1" dxf="1">
    <nc r="D17" t="inlineStr">
      <is>
        <t>376,54р.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76" sId="44" odxf="1" dxf="1">
    <nc r="E17" t="inlineStr">
      <is>
        <t>400,08р.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77" sId="44" odxf="1" dxf="1">
    <nc r="F17" t="inlineStr">
      <is>
        <t>470,68р.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7" start="0" length="0">
    <dxf>
      <font>
        <sz val="11"/>
        <color rgb="FF0000FF"/>
        <name val="Arial Narrow"/>
        <scheme val="none"/>
      </font>
      <fill>
        <patternFill patternType="solid">
          <bgColor theme="0"/>
        </patternFill>
      </fill>
      <alignment vertical="center" readingOrder="0"/>
    </dxf>
  </rfmt>
  <rcc rId="11978" sId="44" odxf="1" dxf="1">
    <nc r="A18" t="inlineStr">
      <is>
        <t xml:space="preserve">Поручень </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79" sId="44" odxf="1" dxf="1">
    <nc r="B18">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8" start="0" length="0">
    <dxf>
      <font>
        <sz val="6"/>
        <color auto="1"/>
        <name val="Arial Narrow"/>
        <scheme val="none"/>
      </font>
      <numFmt numFmtId="2" formatCode="0.00"/>
      <fill>
        <patternFill patternType="solid">
          <bgColor theme="0"/>
        </patternFill>
      </fill>
      <alignment horizontal="center" vertical="center" readingOrder="0"/>
    </dxf>
  </rfmt>
  <rcc rId="11980" sId="44" odxf="1" dxf="1">
    <nc r="D18" t="inlineStr">
      <is>
        <t>1 390,68р.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81" sId="44" odxf="1" dxf="1">
    <nc r="E18" t="inlineStr">
      <is>
        <t>1 477,59р.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82" sId="44" odxf="1" dxf="1">
    <nc r="F18" t="inlineStr">
      <is>
        <t>1 738,35р.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8" start="0" length="0">
    <dxf>
      <font>
        <sz val="11"/>
        <color rgb="FF0000FF"/>
        <name val="Arial Narrow"/>
        <scheme val="none"/>
      </font>
      <fill>
        <patternFill patternType="solid">
          <bgColor theme="0"/>
        </patternFill>
      </fill>
      <alignment vertical="center" readingOrder="0"/>
    </dxf>
  </rfmt>
  <rfmt sheetId="44" sqref="A19" start="0" length="0">
    <dxf>
      <font>
        <sz val="11"/>
        <color theme="1"/>
        <name val="Arial Narrow"/>
        <scheme val="none"/>
      </font>
      <fill>
        <patternFill patternType="solid">
          <bgColor theme="0"/>
        </patternFill>
      </fill>
      <alignment vertical="center" readingOrder="0"/>
    </dxf>
  </rfmt>
  <rfmt sheetId="44" sqref="B19" start="0" length="0">
    <dxf>
      <font>
        <sz val="11"/>
        <color theme="1"/>
        <name val="Arial Narrow"/>
        <scheme val="none"/>
      </font>
      <fill>
        <patternFill patternType="solid">
          <bgColor theme="0"/>
        </patternFill>
      </fill>
      <alignment vertical="center" readingOrder="0"/>
    </dxf>
  </rfmt>
  <rfmt sheetId="44" sqref="C19" start="0" length="0">
    <dxf>
      <font>
        <sz val="6"/>
        <color auto="1"/>
        <name val="Arial Narrow"/>
        <scheme val="none"/>
      </font>
      <fill>
        <patternFill patternType="solid">
          <bgColor theme="0"/>
        </patternFill>
      </fill>
      <alignment vertical="center" readingOrder="0"/>
    </dxf>
  </rfmt>
  <rfmt sheetId="44" sqref="D19" start="0" length="0">
    <dxf>
      <font>
        <sz val="11"/>
        <color auto="1"/>
        <name val="Arial Narrow"/>
        <scheme val="none"/>
      </font>
      <numFmt numFmtId="13" formatCode="0%"/>
      <fill>
        <patternFill patternType="solid">
          <bgColor theme="9" tint="0.79998168889431442"/>
        </patternFill>
      </fill>
      <alignment vertical="center" readingOrder="0"/>
    </dxf>
  </rfmt>
  <rfmt sheetId="44" sqref="E19" start="0" length="0">
    <dxf>
      <font>
        <b/>
        <sz val="11"/>
        <color auto="1"/>
        <name val="Arial Narrow"/>
        <scheme val="none"/>
      </font>
      <fill>
        <patternFill patternType="solid">
          <bgColor theme="0"/>
        </patternFill>
      </fill>
      <alignment vertical="center" readingOrder="0"/>
    </dxf>
  </rfmt>
  <rcc rId="11983" sId="44" odxf="1" dxf="1">
    <nc r="F19"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fmt sheetId="44" sqref="G19" start="0" length="0">
    <dxf>
      <font>
        <sz val="11"/>
        <color theme="1"/>
        <name val="Arial Narrow"/>
        <scheme val="none"/>
      </font>
      <fill>
        <patternFill patternType="solid">
          <bgColor theme="0"/>
        </patternFill>
      </fill>
      <alignment vertical="center" readingOrder="0"/>
    </dxf>
  </rfmt>
  <rfmt sheetId="44" sqref="A20" start="0" length="0">
    <dxf>
      <font>
        <sz val="11"/>
        <color theme="1"/>
        <name val="Arial Narrow"/>
        <scheme val="none"/>
      </font>
      <fill>
        <patternFill patternType="solid">
          <bgColor theme="0"/>
        </patternFill>
      </fill>
      <alignment vertical="center" readingOrder="0"/>
    </dxf>
  </rfmt>
  <rfmt sheetId="44" sqref="B20" start="0" length="0">
    <dxf>
      <font>
        <sz val="11"/>
        <color theme="1"/>
        <name val="Arial Narrow"/>
        <scheme val="none"/>
      </font>
      <fill>
        <patternFill patternType="solid">
          <bgColor theme="0"/>
        </patternFill>
      </fill>
      <alignment vertical="center" readingOrder="0"/>
    </dxf>
  </rfmt>
  <rfmt sheetId="44" sqref="C20" start="0" length="0">
    <dxf>
      <font>
        <sz val="6"/>
        <color auto="1"/>
        <name val="Arial Narrow"/>
        <scheme val="none"/>
      </font>
      <fill>
        <patternFill patternType="solid">
          <bgColor theme="0"/>
        </patternFill>
      </fill>
      <alignment vertical="center" readingOrder="0"/>
    </dxf>
  </rfmt>
  <rfmt sheetId="44" sqref="D20" start="0" length="0">
    <dxf>
      <font>
        <sz val="11"/>
        <color auto="1"/>
        <name val="Arial Narrow"/>
        <scheme val="none"/>
      </font>
      <fill>
        <patternFill patternType="solid">
          <bgColor theme="0"/>
        </patternFill>
      </fill>
      <alignment vertical="center" readingOrder="0"/>
    </dxf>
  </rfmt>
  <rfmt sheetId="44" sqref="E20" start="0" length="0">
    <dxf>
      <font>
        <sz val="11"/>
        <color auto="1"/>
        <name val="Arial Narrow"/>
        <scheme val="none"/>
      </font>
      <fill>
        <patternFill patternType="solid">
          <bgColor theme="0"/>
        </patternFill>
      </fill>
      <alignment vertical="center" readingOrder="0"/>
    </dxf>
  </rfmt>
  <rfmt sheetId="44" sqref="F20" start="0" length="0">
    <dxf>
      <font>
        <sz val="11"/>
        <color auto="1"/>
        <name val="Arial Narrow"/>
        <scheme val="none"/>
      </font>
      <fill>
        <patternFill patternType="solid">
          <bgColor theme="0"/>
        </patternFill>
      </fill>
      <alignment vertical="center" readingOrder="0"/>
    </dxf>
  </rfmt>
  <rfmt sheetId="44" sqref="G20" start="0" length="0">
    <dxf>
      <font>
        <sz val="11"/>
        <color auto="1"/>
        <name val="Arial Narrow"/>
        <scheme val="none"/>
      </font>
      <fill>
        <patternFill patternType="solid">
          <bgColor theme="0"/>
        </patternFill>
      </fill>
      <alignment vertical="center" readingOrder="0"/>
    </dxf>
  </rfmt>
  <rrc rId="11984" sId="44" ref="A5:XFD5" action="deleteRow">
    <rfmt sheetId="44" xfDxf="1" sqref="A5:XFD5" start="0" length="0"/>
    <rfmt sheetId="44" sqref="A5" start="0" length="0">
      <dxf>
        <font>
          <sz val="11"/>
          <color theme="1"/>
          <name val="Arial Narrow"/>
          <scheme val="none"/>
        </font>
        <fill>
          <patternFill patternType="solid">
            <bgColor theme="0"/>
          </patternFill>
        </fill>
        <alignment vertical="center" readingOrder="0"/>
      </dxf>
    </rfmt>
    <rfmt sheetId="44" sqref="B5" start="0" length="0">
      <dxf>
        <font>
          <sz val="11"/>
          <color theme="1"/>
          <name val="Arial Narrow"/>
          <scheme val="none"/>
        </font>
        <fill>
          <patternFill patternType="solid">
            <bgColor theme="0"/>
          </patternFill>
        </fill>
        <alignment vertical="center" readingOrder="0"/>
      </dxf>
    </rfmt>
    <rfmt sheetId="44" sqref="C5" start="0" length="0">
      <dxf>
        <font>
          <sz val="6"/>
          <color auto="1"/>
          <name val="Arial Narrow"/>
          <scheme val="none"/>
        </font>
        <fill>
          <patternFill patternType="solid">
            <bgColor theme="0"/>
          </patternFill>
        </fill>
        <alignment vertical="center" readingOrder="0"/>
      </dxf>
    </rfmt>
    <rfmt sheetId="44" sqref="D5" start="0" length="0">
      <dxf>
        <font>
          <sz val="11"/>
          <color auto="1"/>
          <name val="Arial Narrow"/>
          <scheme val="none"/>
        </font>
        <fill>
          <patternFill patternType="solid">
            <bgColor theme="0"/>
          </patternFill>
        </fill>
        <alignment vertical="center" readingOrder="0"/>
      </dxf>
    </rfmt>
    <rfmt sheetId="44" sqref="E5" start="0" length="0">
      <dxf>
        <font>
          <sz val="11"/>
          <color auto="1"/>
          <name val="Arial Narrow"/>
          <scheme val="none"/>
        </font>
        <fill>
          <patternFill patternType="solid">
            <bgColor theme="0"/>
          </patternFill>
        </fill>
        <alignment vertical="center" readingOrder="0"/>
      </dxf>
    </rfmt>
    <rfmt sheetId="44" sqref="F5" start="0" length="0">
      <dxf>
        <font>
          <sz val="11"/>
          <color auto="1"/>
          <name val="Arial Narrow"/>
          <scheme val="none"/>
        </font>
        <fill>
          <patternFill patternType="solid">
            <bgColor theme="0"/>
          </patternFill>
        </fill>
        <alignment vertical="center" readingOrder="0"/>
      </dxf>
    </rfmt>
    <rfmt sheetId="44" sqref="G5" start="0" length="0">
      <dxf>
        <font>
          <sz val="11"/>
          <color theme="1"/>
          <name val="Arial Narrow"/>
          <scheme val="none"/>
        </font>
        <fill>
          <patternFill patternType="solid">
            <bgColor theme="0"/>
          </patternFill>
        </fill>
        <alignment vertical="center" readingOrder="0"/>
      </dxf>
    </rfmt>
  </rrc>
  <rrc rId="11985" sId="44" ref="A3:XFD3" action="deleteRow">
    <rfmt sheetId="44" xfDxf="1" sqref="A3:XFD3" start="0" length="0"/>
  </rrc>
  <rcc rId="11986" sId="44"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2"/>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4" sqref="B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C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D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E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F1" start="0" length="0">
    <dxf>
      <font>
        <sz val="22"/>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4" sqref="A1:F1" start="0" length="2147483647">
    <dxf>
      <font>
        <sz val="16"/>
      </font>
    </dxf>
  </rfmt>
  <rrc rId="11987" sId="44" ref="A2:XFD2" action="deleteRow">
    <rfmt sheetId="44" xfDxf="1" sqref="A2:XFD2" start="0" length="0"/>
  </rrc>
  <rcc rId="11988" sId="37" odxf="1" dxf="1">
    <oc r="D5" t="inlineStr">
      <is>
        <t>Цена                                    для типового Дилера</t>
      </is>
    </oc>
    <nc r="D5" t="inlineStr">
      <is>
        <t>Для Кровельных и Торгующих Баз</t>
      </is>
    </nc>
    <odxf>
      <font>
        <color auto="1"/>
        <name val="Arial Narrow"/>
        <scheme val="none"/>
      </font>
    </odxf>
    <ndxf>
      <font>
        <sz val="12"/>
        <color auto="1"/>
        <name val="Arial Narrow"/>
        <scheme val="none"/>
      </font>
    </ndxf>
  </rcc>
  <rcc rId="11989" sId="38">
    <oc r="D5" t="inlineStr">
      <is>
        <t>Цена                                    для типового Дилера</t>
      </is>
    </oc>
    <nc r="D5" t="inlineStr">
      <is>
        <t>Для Кровельных и Торгующих Баз</t>
      </is>
    </nc>
  </rcc>
  <rcc rId="11990" sId="39">
    <oc r="D5" t="inlineStr">
      <is>
        <t>Цена                                    для типового Дилера</t>
      </is>
    </oc>
    <nc r="D5" t="inlineStr">
      <is>
        <t>Для Кровельных и Торгующих Баз</t>
      </is>
    </nc>
  </rcc>
  <rcc rId="11991" sId="40">
    <oc r="D4" t="inlineStr">
      <is>
        <t>Цена                                    для типового Дилера</t>
      </is>
    </oc>
    <nc r="D4" t="inlineStr">
      <is>
        <t>Для Кровельных и Торгующих Баз</t>
      </is>
    </nc>
  </rcc>
  <rcc rId="11992" sId="41">
    <nc r="D4" t="inlineStr">
      <is>
        <t>Для Кровельных и Торгующих Баз</t>
      </is>
    </nc>
  </rcc>
  <rcc rId="11993" sId="42">
    <nc r="D4" t="inlineStr">
      <is>
        <t>Для Кровельных и Торгующих Баз</t>
      </is>
    </nc>
  </rcc>
  <rcc rId="11994" sId="43">
    <nc r="D4" t="inlineStr">
      <is>
        <t>Для Кровельных и Торгующих Баз</t>
      </is>
    </nc>
  </rcc>
  <rcc rId="11995" sId="44">
    <nc r="D4" t="inlineStr">
      <is>
        <t>Для Кровельных и Торгующих Баз</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61111.xml><?xml version="1.0" encoding="utf-8"?>
<revisions xmlns="http://schemas.openxmlformats.org/spreadsheetml/2006/main" xmlns:r="http://schemas.openxmlformats.org/officeDocument/2006/relationships">
  <rcc rId="10145" sId="21">
    <oc r="A1" t="inlineStr">
      <is>
        <t>ООО "ЦЕНТР-ТИМ"   Платонов Иван 89536104242  centrtim57@mail.ru  15/03/19</t>
      </is>
    </oc>
    <nc r="A1"/>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rdn>
  <rdn rId="0" localSheetId="21" customView="1" name="Z_C0FE86CC_5BB4_4265_957F_F51B909B3E81_.wvu.Cols" hidden="1" oldHidden="1">
    <formula>'Differo МИНПЛИТА'!$J:$K</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rdn>
  <rdn rId="0" localSheetId="22" customView="1" name="Z_C0FE86CC_5BB4_4265_957F_F51B909B3E81_.wvu.Cols" hidden="1" oldHidden="1">
    <formula>'OSB,ФАНЕРА,ПОЛИКАРБОНАТ'!$C:$C</formula>
  </rdn>
  <rdn rId="0" localSheetId="23" customView="1" name="Z_C0FE86CC_5BB4_4265_957F_F51B909B3E81_.wvu.Cols" hidden="1" oldHidden="1">
    <formula>PAROC!$C:$C</formula>
  </rdn>
  <rdn rId="0" localSheetId="33" customView="1" name="Z_C0FE86CC_5BB4_4265_957F_F51B909B3E81_.wvu.Rows" hidden="1" oldHidden="1">
    <formula>ВОКС!$4:$4</formula>
  </rdn>
  <rcv guid="{C0FE86CC-5BB4-4265-957F-F51B909B3E81}" action="add"/>
</revisions>
</file>

<file path=xl/revisions/revisionLog117.xml><?xml version="1.0" encoding="utf-8"?>
<revisions xmlns="http://schemas.openxmlformats.org/spreadsheetml/2006/main" xmlns:r="http://schemas.openxmlformats.org/officeDocument/2006/relationships">
  <rcc rId="14381" sId="47">
    <oc r="A2" t="inlineStr">
      <is>
        <r>
          <rPr>
            <b/>
            <sz val="10"/>
            <color theme="1"/>
            <rFont val="Palatino Linotype"/>
            <family val="1"/>
            <charset val="204"/>
          </rPr>
          <t>ООО "ЦЕНТР-ТИМ"</t>
        </r>
        <r>
          <rPr>
            <sz val="10"/>
            <color theme="1"/>
            <rFont val="Palatino Linotype"/>
            <family val="1"/>
            <charset val="204"/>
          </rPr>
          <t xml:space="preserve">   89536104242 Платонов Иван</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is>
    </oc>
    <nc r="A2" t="inlineStr">
      <is>
        <r>
          <rPr>
            <b/>
            <sz val="10"/>
            <color theme="1"/>
            <rFont val="Palatino Linotype"/>
            <family val="1"/>
            <charset val="204"/>
          </rPr>
          <t>ООО "ЦЕНТР-ТИМ"</t>
        </r>
        <r>
          <rPr>
            <sz val="10"/>
            <color theme="1"/>
            <rFont val="Palatino Linotype"/>
            <family val="1"/>
            <charset val="204"/>
          </rPr>
          <t xml:space="preserve">   89536104242 Платонов Иван</t>
        </r>
        <r>
          <rPr>
            <b/>
            <sz val="10"/>
            <color theme="1"/>
            <rFont val="Palatino Linotype"/>
            <family val="1"/>
            <charset val="204"/>
          </rPr>
          <t xml:space="preserve">  </t>
        </r>
        <r>
          <rPr>
            <b/>
            <u/>
            <sz val="10"/>
            <color theme="1"/>
            <rFont val="Palatino Linotype"/>
            <family val="1"/>
            <charset val="204"/>
          </rPr>
          <t>centrtim57@mail.ru   17</t>
        </r>
        <r>
          <rPr>
            <b/>
            <u/>
            <sz val="10"/>
            <color rgb="FFFF0000"/>
            <rFont val="Palatino Linotype"/>
            <family val="1"/>
            <charset val="204"/>
          </rPr>
          <t>/06/19</t>
        </r>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47" customView="1" name="Z_FBB3E572_A647_4B8C_96C7_F43FE4F7CAA8_.wvu.Cols" hidden="1" oldHidden="1">
    <formula>DoorHan!$G:$J</formula>
    <oldFormula>DoorHan!$G:$J</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7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7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7111.xml><?xml version="1.0" encoding="utf-8"?>
<revisions xmlns="http://schemas.openxmlformats.org/spreadsheetml/2006/main" xmlns:r="http://schemas.openxmlformats.org/officeDocument/2006/relationships">
  <ris rId="10457" sheetId="35" name="[ПРАЙС ЦЕНТР-ТИМ 2019 обновленный.xlsx]Лист1" sheetPosition="34"/>
  <rcc rId="10458" sId="35" odxf="1" dxf="1">
    <nc r="A3" t="inlineStr">
      <is>
        <t xml:space="preserve">Döcke PIE. Гибкая черепица с битумной сваркой гонтов.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center" vertical="center" readingOrder="0"/>
    </ndxf>
  </rcc>
  <rfmt sheetId="35" sqref="B3" start="0" length="0">
    <dxf>
      <font>
        <b/>
        <sz val="11"/>
        <color theme="1"/>
        <name val="Arial Narrow"/>
        <scheme val="none"/>
      </font>
      <fill>
        <patternFill patternType="solid">
          <bgColor theme="0"/>
        </patternFill>
      </fill>
      <alignment vertical="center" readingOrder="0"/>
    </dxf>
  </rfmt>
  <rfmt sheetId="35" sqref="C3" start="0" length="0">
    <dxf>
      <font>
        <sz val="11"/>
        <color auto="1"/>
        <name val="Arial Narrow"/>
        <scheme val="none"/>
      </font>
      <fill>
        <patternFill patternType="solid">
          <bgColor theme="0"/>
        </patternFill>
      </fill>
      <alignment vertical="center" readingOrder="0"/>
    </dxf>
  </rfmt>
  <rfmt sheetId="35" sqref="D3" start="0" length="0">
    <dxf>
      <font>
        <b/>
        <sz val="11"/>
        <color auto="1"/>
        <name val="Arial Narrow"/>
        <scheme val="none"/>
      </font>
      <fill>
        <patternFill patternType="solid">
          <bgColor theme="0"/>
        </patternFill>
      </fill>
      <alignment horizontal="right" vertical="center" readingOrder="0"/>
    </dxf>
  </rfmt>
  <rfmt sheetId="35" sqref="E3" start="0" length="0">
    <dxf>
      <font>
        <b/>
        <sz val="11"/>
        <color auto="1"/>
        <name val="Arial Narrow"/>
        <scheme val="none"/>
      </font>
      <fill>
        <patternFill patternType="solid">
          <bgColor theme="0"/>
        </patternFill>
      </fill>
      <alignment horizontal="right" vertical="center" readingOrder="0"/>
    </dxf>
  </rfmt>
  <rfmt sheetId="35" sqref="F3" start="0" length="0">
    <dxf>
      <font>
        <b/>
        <sz val="11"/>
        <color auto="1"/>
        <name val="Arial Narrow"/>
        <scheme val="none"/>
      </font>
      <fill>
        <patternFill patternType="solid">
          <bgColor theme="0"/>
        </patternFill>
      </fill>
      <alignment horizontal="right" vertical="center" readingOrder="0"/>
    </dxf>
  </rfmt>
  <rfmt sheetId="35" sqref="A4" start="0" length="0">
    <dxf>
      <font>
        <sz val="11"/>
        <color theme="1"/>
        <name val="Arial Narrow"/>
        <scheme val="none"/>
      </font>
      <fill>
        <patternFill patternType="solid">
          <bgColor theme="0"/>
        </patternFill>
      </fill>
      <alignment vertical="center" readingOrder="0"/>
    </dxf>
  </rfmt>
  <rfmt sheetId="35" sqref="B4" start="0" length="0">
    <dxf>
      <font>
        <sz val="11"/>
        <color theme="1"/>
        <name val="Arial Narrow"/>
        <scheme val="none"/>
      </font>
      <fill>
        <patternFill patternType="solid">
          <bgColor theme="0"/>
        </patternFill>
      </fill>
      <alignment vertical="center" readingOrder="0"/>
    </dxf>
  </rfmt>
  <rfmt sheetId="35" sqref="C4" start="0" length="0">
    <dxf>
      <font>
        <sz val="11"/>
        <color auto="1"/>
        <name val="Arial Narrow"/>
        <scheme val="none"/>
      </font>
      <fill>
        <patternFill patternType="solid">
          <bgColor theme="0"/>
        </patternFill>
      </fill>
      <alignment vertical="center" readingOrder="0"/>
    </dxf>
  </rfmt>
  <rfmt sheetId="35" sqref="D4" start="0" length="0">
    <dxf>
      <font>
        <sz val="11"/>
        <color auto="1"/>
        <name val="Arial Narrow"/>
        <scheme val="none"/>
      </font>
      <fill>
        <patternFill patternType="solid">
          <bgColor theme="0"/>
        </patternFill>
      </fill>
      <alignment vertical="center" readingOrder="0"/>
    </dxf>
  </rfmt>
  <rfmt sheetId="35" sqref="E4" start="0" length="0">
    <dxf>
      <font>
        <sz val="11"/>
        <color auto="1"/>
        <name val="Arial Narrow"/>
        <scheme val="none"/>
      </font>
      <fill>
        <patternFill patternType="solid">
          <bgColor theme="0"/>
        </patternFill>
      </fill>
      <alignment vertical="center" readingOrder="0"/>
    </dxf>
  </rfmt>
  <rfmt sheetId="35" sqref="F4" start="0" length="0">
    <dxf>
      <font>
        <sz val="11"/>
        <color auto="1"/>
        <name val="Arial Narrow"/>
        <scheme val="none"/>
      </font>
      <fill>
        <patternFill patternType="solid">
          <bgColor theme="0"/>
        </patternFill>
      </fill>
      <alignment vertical="center" readingOrder="0"/>
    </dxf>
  </rfmt>
  <rfmt sheetId="35" sqref="A5" start="0" length="0">
    <dxf>
      <font>
        <sz val="11"/>
        <color theme="1"/>
        <name val="Arial Narrow"/>
        <scheme val="none"/>
      </font>
      <fill>
        <patternFill patternType="solid">
          <bgColor rgb="FF92D050"/>
        </patternFill>
      </fill>
      <alignment vertical="center" readingOrder="0"/>
    </dxf>
  </rfmt>
  <rfmt sheetId="35" sqref="B5" start="0" length="0">
    <dxf>
      <font>
        <sz val="11"/>
        <color theme="1"/>
        <name val="Arial Narrow"/>
        <scheme val="none"/>
      </font>
      <fill>
        <patternFill patternType="solid">
          <bgColor rgb="FF92D050"/>
        </patternFill>
      </fill>
      <alignment vertical="center" readingOrder="0"/>
    </dxf>
  </rfmt>
  <rfmt sheetId="35" sqref="C5" start="0" length="0">
    <dxf>
      <font>
        <sz val="11"/>
        <color auto="1"/>
        <name val="Arial Narrow"/>
        <scheme val="none"/>
      </font>
      <fill>
        <patternFill patternType="solid">
          <bgColor theme="0"/>
        </patternFill>
      </fill>
      <alignment vertical="center" readingOrder="0"/>
    </dxf>
  </rfmt>
  <rfmt sheetId="35" sqref="D5" start="0" length="0">
    <dxf>
      <font>
        <b/>
        <sz val="11"/>
        <color auto="1"/>
        <name val="Arial Narrow"/>
        <scheme val="none"/>
      </font>
      <fill>
        <patternFill patternType="solid">
          <bgColor theme="5" tint="0.39997558519241921"/>
        </patternFill>
      </fill>
      <alignment horizontal="center" vertical="center" readingOrder="0"/>
    </dxf>
  </rfmt>
  <rfmt sheetId="35" sqref="E5" start="0" length="0">
    <dxf>
      <font>
        <b/>
        <sz val="11"/>
        <color auto="1"/>
        <name val="Arial Narrow"/>
        <scheme val="none"/>
      </font>
      <fill>
        <patternFill patternType="solid">
          <bgColor rgb="FFFFFF00"/>
        </patternFill>
      </fill>
      <alignment horizontal="center" vertical="center" readingOrder="0"/>
    </dxf>
  </rfmt>
  <rfmt sheetId="35" sqref="F5" start="0" length="0">
    <dxf>
      <font>
        <b/>
        <sz val="11"/>
        <color auto="1"/>
        <name val="Arial Narrow"/>
        <scheme val="none"/>
      </font>
      <fill>
        <patternFill patternType="solid">
          <bgColor rgb="FFCCFFCC"/>
        </patternFill>
      </fill>
      <alignment horizontal="center" vertical="center" readingOrder="0"/>
    </dxf>
  </rfmt>
  <rcc rId="10459" sId="35" odxf="1" dxf="1">
    <nc r="A6" t="inlineStr">
      <is>
        <t>Наименование</t>
      </is>
    </nc>
    <odxf>
      <font>
        <b val="0"/>
        <u val="none"/>
        <sz val="11"/>
        <color theme="1"/>
        <name val="Calibri"/>
        <scheme val="minor"/>
      </font>
      <alignment horizontal="general" vertical="bottom" wrapText="0" readingOrder="0"/>
      <border outline="0">
        <left/>
        <right/>
        <top/>
        <bottom/>
      </border>
    </odxf>
    <ndxf>
      <font>
        <b/>
        <u/>
        <sz val="20"/>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460" sId="35" odxf="1" dxf="1">
    <nc r="B6"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5" sqref="C6" start="0" length="0">
    <dxf>
      <font>
        <b/>
        <u/>
        <sz val="12"/>
        <color auto="1"/>
        <name val="Arial Narrow"/>
        <scheme val="none"/>
      </font>
      <fill>
        <patternFill patternType="solid">
          <bgColor theme="0"/>
        </patternFill>
      </fill>
      <alignment horizontal="center" vertical="center" wrapText="1" readingOrder="0"/>
    </dxf>
  </rfmt>
  <rcc rId="10461" sId="35" odxf="1" dxf="1">
    <nc r="D6" t="inlineStr">
      <is>
        <t>Для Кровельных и Торгующих Баз</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462" sId="35" odxf="1" dxf="1">
    <nc r="E6"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463" sId="35" odxf="1" dxf="1">
    <nc r="F6"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5" sqref="A7" start="0" length="0">
    <dxf>
      <font>
        <sz val="11"/>
        <color auto="1"/>
        <name val="Arial Narrow"/>
        <scheme val="none"/>
      </font>
      <alignment vertical="center" readingOrder="0"/>
    </dxf>
  </rfmt>
  <rfmt sheetId="35" sqref="B7" start="0" length="0">
    <dxf>
      <font>
        <sz val="11"/>
        <color auto="1"/>
        <name val="Arial Narrow"/>
        <scheme val="none"/>
      </font>
      <alignment vertical="center" readingOrder="0"/>
    </dxf>
  </rfmt>
  <rfmt sheetId="35" sqref="C7" start="0" length="0">
    <dxf>
      <font>
        <sz val="11"/>
        <color auto="1"/>
        <name val="Arial Narrow"/>
        <scheme val="none"/>
      </font>
      <numFmt numFmtId="167" formatCode="#,##0.00&quot;р.&quot;"/>
      <fill>
        <patternFill patternType="solid">
          <bgColor theme="0"/>
        </patternFill>
      </fill>
      <alignment vertical="center" readingOrder="0"/>
    </dxf>
  </rfmt>
  <rfmt sheetId="35" sqref="D7" start="0" length="0">
    <dxf>
      <font>
        <sz val="11"/>
        <color auto="1"/>
        <name val="Arial Narrow"/>
        <scheme val="none"/>
      </font>
      <numFmt numFmtId="167" formatCode="#,##0.00&quot;р.&quot;"/>
      <fill>
        <patternFill patternType="solid">
          <bgColor theme="0"/>
        </patternFill>
      </fill>
      <alignment vertical="center" readingOrder="0"/>
    </dxf>
  </rfmt>
  <rfmt sheetId="35" sqref="E7" start="0" length="0">
    <dxf>
      <font>
        <sz val="11"/>
        <color auto="1"/>
        <name val="Arial Narrow"/>
        <scheme val="none"/>
      </font>
      <numFmt numFmtId="167" formatCode="#,##0.00&quot;р.&quot;"/>
      <fill>
        <patternFill patternType="solid">
          <bgColor theme="0"/>
        </patternFill>
      </fill>
      <alignment vertical="center" readingOrder="0"/>
    </dxf>
  </rfmt>
  <rfmt sheetId="35" sqref="F7" start="0" length="0">
    <dxf>
      <font>
        <sz val="11"/>
        <color auto="1"/>
        <name val="Arial Narrow"/>
        <scheme val="none"/>
      </font>
      <numFmt numFmtId="167" formatCode="#,##0.00&quot;р.&quot;"/>
      <fill>
        <patternFill patternType="solid">
          <bgColor theme="0"/>
        </patternFill>
      </fill>
      <alignment vertical="center" readingOrder="0"/>
    </dxf>
  </rfmt>
  <rcc rId="10464" sId="35" odxf="1" dxf="1">
    <nc r="A8" t="inlineStr">
      <is>
        <t>Черепица Döcke PIE, серия EUROPA</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465" sId="35" odxf="1" dxf="1">
    <nc r="B8" t="inlineStr">
      <is>
        <t>кв.м./ п.м.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8" start="0" length="0">
    <dxf>
      <font>
        <b/>
        <sz val="11"/>
        <color auto="1"/>
        <name val="Arial Narrow"/>
        <scheme val="none"/>
      </font>
      <numFmt numFmtId="2" formatCode="0.00"/>
      <fill>
        <patternFill patternType="solid">
          <bgColor theme="0"/>
        </patternFill>
      </fill>
      <alignment horizontal="center" vertical="center" readingOrder="0"/>
    </dxf>
  </rfmt>
  <rfmt sheetId="35" sqref="D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8"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466" sId="35" odxf="1" dxf="1">
    <nc r="A9" t="inlineStr">
      <is>
        <t>Гибкая черепица Döcke PIE EUROPA/ KARAT/ Зеленый, Коричневый, Красный, Серый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67" sId="35" odxf="1" dxf="1">
    <nc r="B9">
      <v>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5" sqref="C9" start="0" length="0">
    <dxf>
      <font>
        <sz val="6"/>
        <color rgb="FFFF0000"/>
        <name val="Arial Narrow"/>
        <scheme val="none"/>
      </font>
      <numFmt numFmtId="2" formatCode="0.00"/>
      <fill>
        <patternFill patternType="solid">
          <bgColor theme="0"/>
        </patternFill>
      </fill>
      <alignment horizontal="center" vertical="center" readingOrder="0"/>
    </dxf>
  </rfmt>
  <rcc rId="10468" sId="35" odxf="1" dxf="1">
    <nc r="D9" t="inlineStr">
      <is>
        <t>720,26р.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69" sId="35" odxf="1" dxf="1">
    <nc r="E9" t="inlineStr">
      <is>
        <t>788,85р.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0" sId="35" odxf="1" dxf="1">
    <nc r="F9" t="inlineStr">
      <is>
        <t>857,45р.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71" sId="35" odxf="1" dxf="1">
    <nc r="A10" t="inlineStr">
      <is>
        <t>Гибкая черепица Döcke PIE EUROPA/ MATRIX/ Зеленый, Коричневый, Красный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72" sId="35" odxf="1" dxf="1">
    <nc r="B10">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0" start="0" length="0">
    <dxf>
      <font>
        <sz val="6"/>
        <color rgb="FFFF0000"/>
        <name val="Arial Narrow"/>
        <scheme val="none"/>
      </font>
      <numFmt numFmtId="2" formatCode="0.00"/>
      <fill>
        <patternFill patternType="solid">
          <bgColor theme="0"/>
        </patternFill>
      </fill>
      <alignment horizontal="center" vertical="center" readingOrder="0"/>
    </dxf>
  </rfmt>
  <rcc rId="10473" sId="35" odxf="1" dxf="1">
    <nc r="D10" t="inlineStr">
      <is>
        <t>720,26р.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4" sId="35" odxf="1" dxf="1">
    <nc r="E10" t="inlineStr">
      <is>
        <t>788,85р.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5" sId="35" odxf="1" dxf="1">
    <nc r="F10" t="inlineStr">
      <is>
        <t>857,45р.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76" sId="35" odxf="1" dxf="1">
    <nc r="A11" t="inlineStr">
      <is>
        <t>Гибкая черепица Döcke PIE EUROPA/ CUPOLA/ Зеленый, Коричневый, Красный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77" sId="35" odxf="1" dxf="1">
    <nc r="B11">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1" start="0" length="0">
    <dxf>
      <font>
        <sz val="6"/>
        <color rgb="FFFF0000"/>
        <name val="Arial Narrow"/>
        <scheme val="none"/>
      </font>
      <numFmt numFmtId="2" formatCode="0.00"/>
      <fill>
        <patternFill patternType="solid">
          <bgColor theme="0"/>
        </patternFill>
      </fill>
      <alignment horizontal="center" vertical="center" readingOrder="0"/>
    </dxf>
  </rfmt>
  <rcc rId="10478" sId="35" odxf="1" dxf="1">
    <nc r="D11" t="inlineStr">
      <is>
        <t>855,93р.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9" sId="35" odxf="1" dxf="1">
    <nc r="E11" t="inlineStr">
      <is>
        <t>937,44р.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80" sId="35" odxf="1" dxf="1">
    <nc r="F11" t="inlineStr">
      <is>
        <t>1 018,96р.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81" sId="35" odxf="1" dxf="1">
    <nc r="A12" t="inlineStr">
      <is>
        <t>Гибкая черепица Döcke PIE EUROPA/ SLATE/ Коричневый, Серый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82" sId="35" odxf="1" dxf="1">
    <nc r="B12">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2" start="0" length="0">
    <dxf>
      <font>
        <sz val="6"/>
        <color rgb="FFFF0000"/>
        <name val="Arial Narrow"/>
        <scheme val="none"/>
      </font>
      <numFmt numFmtId="2" formatCode="0.00"/>
      <fill>
        <patternFill patternType="solid">
          <bgColor theme="0"/>
        </patternFill>
      </fill>
      <alignment horizontal="center" vertical="center" readingOrder="0"/>
    </dxf>
  </rfmt>
  <rcc rId="10483" sId="35" odxf="1" dxf="1">
    <nc r="D12" t="inlineStr">
      <is>
        <t>930,35р.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84" sId="35" odxf="1" dxf="1">
    <nc r="E12" t="inlineStr">
      <is>
        <t>1 018,95р.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85" sId="35" odxf="1" dxf="1">
    <nc r="F12" t="inlineStr">
      <is>
        <t>1 107,56р.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13" start="0" length="0">
    <dxf>
      <font>
        <sz val="11"/>
        <color auto="1"/>
        <name val="Arial Narrow"/>
        <scheme val="none"/>
      </font>
      <fill>
        <patternFill patternType="solid">
          <bgColor theme="0"/>
        </patternFill>
      </fill>
      <alignment vertical="center" readingOrder="0"/>
    </dxf>
  </rfmt>
  <rfmt sheetId="35" sqref="B13" start="0" length="0">
    <dxf>
      <font>
        <sz val="11"/>
        <color auto="1"/>
        <name val="Arial Narrow"/>
        <scheme val="none"/>
      </font>
      <fill>
        <patternFill patternType="solid">
          <bgColor theme="0"/>
        </patternFill>
      </fill>
      <alignment vertical="center" readingOrder="0"/>
    </dxf>
  </rfmt>
  <rfmt sheetId="35" sqref="C13" start="0" length="0">
    <dxf>
      <font>
        <sz val="11"/>
        <color auto="1"/>
        <name val="Arial Narrow"/>
        <scheme val="none"/>
      </font>
      <numFmt numFmtId="2" formatCode="0.00"/>
      <fill>
        <patternFill patternType="solid">
          <bgColor theme="0"/>
        </patternFill>
      </fill>
      <alignment horizontal="center" vertical="center" readingOrder="0"/>
    </dxf>
  </rfmt>
  <rfmt sheetId="35" sqref="D13" start="0" length="0">
    <dxf>
      <font>
        <sz val="11"/>
        <color auto="1"/>
        <name val="Arial Narrow"/>
        <scheme val="none"/>
      </font>
      <numFmt numFmtId="13" formatCode="0%"/>
      <fill>
        <patternFill patternType="solid">
          <bgColor theme="9" tint="0.79998168889431442"/>
        </patternFill>
      </fill>
      <alignment vertical="center" readingOrder="0"/>
    </dxf>
  </rfmt>
  <rfmt sheetId="35" sqref="E13" start="0" length="0">
    <dxf>
      <font>
        <sz val="11"/>
        <color auto="1"/>
        <name val="Arial Narrow"/>
        <scheme val="none"/>
      </font>
      <numFmt numFmtId="13" formatCode="0%"/>
      <fill>
        <patternFill patternType="solid">
          <bgColor theme="9" tint="0.79998168889431442"/>
        </patternFill>
      </fill>
      <alignment vertical="center" readingOrder="0"/>
    </dxf>
  </rfmt>
  <rfmt sheetId="35" sqref="F13" start="0" length="0">
    <dxf>
      <font>
        <sz val="11"/>
        <color auto="1"/>
        <name val="Arial Narrow"/>
        <scheme val="none"/>
      </font>
      <numFmt numFmtId="13" formatCode="0%"/>
      <fill>
        <patternFill patternType="solid">
          <bgColor theme="9" tint="0.79998168889431442"/>
        </patternFill>
      </fill>
      <alignment vertical="center" readingOrder="0"/>
    </dxf>
  </rfmt>
  <rfmt sheetId="35" sqref="A14" start="0" length="0">
    <dxf>
      <font>
        <sz val="11"/>
        <color auto="1"/>
        <name val="Arial Narrow"/>
        <scheme val="none"/>
      </font>
      <fill>
        <patternFill patternType="solid">
          <bgColor theme="0"/>
        </patternFill>
      </fill>
      <alignment vertical="center" readingOrder="0"/>
    </dxf>
  </rfmt>
  <rfmt sheetId="35" sqref="B14" start="0" length="0">
    <dxf>
      <font>
        <sz val="11"/>
        <color auto="1"/>
        <name val="Arial Narrow"/>
        <scheme val="none"/>
      </font>
      <fill>
        <patternFill patternType="solid">
          <bgColor theme="0"/>
        </patternFill>
      </fill>
      <alignment vertical="center" readingOrder="0"/>
    </dxf>
  </rfmt>
  <rfmt sheetId="35" sqref="C14" start="0" length="0">
    <dxf>
      <font>
        <sz val="11"/>
        <color auto="1"/>
        <name val="Arial Narrow"/>
        <scheme val="none"/>
      </font>
      <fill>
        <patternFill patternType="solid">
          <bgColor theme="0"/>
        </patternFill>
      </fill>
      <alignment vertical="center" readingOrder="0"/>
    </dxf>
  </rfmt>
  <rfmt sheetId="35" sqref="D14" start="0" length="0">
    <dxf>
      <font>
        <sz val="11"/>
        <color auto="1"/>
        <name val="Arial Narrow"/>
        <scheme val="none"/>
      </font>
      <fill>
        <patternFill patternType="solid">
          <bgColor theme="0"/>
        </patternFill>
      </fill>
      <alignment vertical="center" readingOrder="0"/>
    </dxf>
  </rfmt>
  <rfmt sheetId="35" sqref="E14" start="0" length="0">
    <dxf>
      <font>
        <sz val="11"/>
        <color auto="1"/>
        <name val="Arial Narrow"/>
        <scheme val="none"/>
      </font>
      <fill>
        <patternFill patternType="solid">
          <bgColor theme="0"/>
        </patternFill>
      </fill>
      <alignment vertical="center" readingOrder="0"/>
    </dxf>
  </rfmt>
  <rfmt sheetId="35" sqref="F14" start="0" length="0">
    <dxf>
      <font>
        <sz val="11"/>
        <color auto="1"/>
        <name val="Arial Narrow"/>
        <scheme val="none"/>
      </font>
      <fill>
        <patternFill patternType="solid">
          <bgColor theme="0"/>
        </patternFill>
      </fill>
      <alignment vertical="center" readingOrder="0"/>
    </dxf>
  </rfmt>
  <rcc rId="10486" sId="35" odxf="1" dxf="1">
    <nc r="A15" t="inlineStr">
      <is>
        <t>Черепица Döcke PIE, серия STANDARD</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487" sId="35" odxf="1" dxf="1">
    <nc r="B15" t="inlineStr">
      <is>
        <t>кв.м./ п.м.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15" start="0" length="0">
    <dxf>
      <font>
        <b/>
        <sz val="11"/>
        <color auto="1"/>
        <name val="Arial Narrow"/>
        <scheme val="none"/>
      </font>
      <numFmt numFmtId="2" formatCode="0.00"/>
      <fill>
        <patternFill patternType="solid">
          <bgColor theme="0"/>
        </patternFill>
      </fill>
      <alignment horizontal="center" vertical="center" readingOrder="0"/>
    </dxf>
  </rfmt>
  <rfmt sheetId="35" sqref="D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15"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488" sId="35" odxf="1" dxf="1">
    <nc r="A16" t="inlineStr">
      <is>
        <t xml:space="preserve">Гибкая черепица Döcke PIE STANDARD/ СОТА/ Зеленый, Коричневый, Красный, Серый </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89" sId="35" odxf="1" dxf="1">
    <nc r="B16">
      <v>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5" sqref="C16" start="0" length="0">
    <dxf>
      <font>
        <sz val="6"/>
        <color rgb="FFFF0000"/>
        <name val="Arial Narrow"/>
        <scheme val="none"/>
      </font>
      <numFmt numFmtId="2" formatCode="0.00"/>
      <fill>
        <patternFill patternType="solid">
          <bgColor theme="0"/>
        </patternFill>
      </fill>
      <alignment horizontal="center" vertical="center" readingOrder="0"/>
    </dxf>
  </rfmt>
  <rcc rId="10490" sId="35" odxf="1" dxf="1">
    <nc r="D16" t="inlineStr">
      <is>
        <t>908,34р.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1" sId="35" odxf="1" dxf="1">
    <nc r="E16" t="inlineStr">
      <is>
        <t>996,96р.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2" sId="35" odxf="1" dxf="1">
    <nc r="F16" t="inlineStr">
      <is>
        <t>1 107,73р.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93" sId="35" odxf="1" dxf="1">
    <nc r="A17" t="inlineStr">
      <is>
        <t>Гибкая черепица Döcke PIE STANDARD/ ТЕТРИС/ Красный, Коричневый, Зеленый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494" sId="35" odxf="1" dxf="1">
    <nc r="B17">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7" start="0" length="0">
    <dxf>
      <font>
        <sz val="6"/>
        <color rgb="FFFF0000"/>
        <name val="Arial Narrow"/>
        <scheme val="none"/>
      </font>
      <numFmt numFmtId="2" formatCode="0.00"/>
      <fill>
        <patternFill patternType="solid">
          <bgColor theme="0"/>
        </patternFill>
      </fill>
      <alignment horizontal="center" vertical="center" readingOrder="0"/>
    </dxf>
  </rfmt>
  <rcc rId="10495" sId="35" odxf="1" dxf="1">
    <nc r="D17" t="inlineStr">
      <is>
        <t>935,60р.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6" sId="35" odxf="1" dxf="1">
    <nc r="E17" t="inlineStr">
      <is>
        <t>1 026,88р.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7" sId="35" odxf="1" dxf="1">
    <nc r="F17" t="inlineStr">
      <is>
        <t>1 140,97р.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98" sId="35" odxf="1" dxf="1">
    <nc r="A18" t="inlineStr">
      <is>
        <t xml:space="preserve">Гибкая черепица Döcke PIE STANDARD/ КОЛЬЧУГА/ Зеленый, Красный, Коричневый </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499" sId="35" odxf="1" dxf="1">
    <nc r="B18">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8" start="0" length="0">
    <dxf>
      <font>
        <sz val="6"/>
        <color rgb="FFFF0000"/>
        <name val="Arial Narrow"/>
        <scheme val="none"/>
      </font>
      <numFmt numFmtId="2" formatCode="0.00"/>
      <fill>
        <patternFill patternType="solid">
          <bgColor theme="0"/>
        </patternFill>
      </fill>
      <alignment horizontal="center" vertical="center" readingOrder="0"/>
    </dxf>
  </rfmt>
  <rcc rId="10500" sId="35" odxf="1" dxf="1">
    <nc r="D18" t="inlineStr">
      <is>
        <t>1 079,39р.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1" sId="35" odxf="1" dxf="1">
    <nc r="E18" t="inlineStr">
      <is>
        <t>1 184,69р.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2" sId="35" odxf="1" dxf="1">
    <nc r="F18" t="inlineStr">
      <is>
        <t>1 316,33р.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03" sId="35" odxf="1" dxf="1">
    <nc r="A19" t="inlineStr">
      <is>
        <t xml:space="preserve">Гибкая черепица Döcke PIE STANDARD/ КРОНА/ Красный, Коричневый, Серый </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04" sId="35" odxf="1" dxf="1">
    <nc r="B19">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9" start="0" length="0">
    <dxf>
      <font>
        <sz val="6"/>
        <color rgb="FFFF0000"/>
        <name val="Arial Narrow"/>
        <scheme val="none"/>
      </font>
      <numFmt numFmtId="2" formatCode="0.00"/>
      <fill>
        <patternFill patternType="solid">
          <bgColor theme="0"/>
        </patternFill>
      </fill>
      <alignment horizontal="center" vertical="center" readingOrder="0"/>
    </dxf>
  </rfmt>
  <rcc rId="10505" sId="35" odxf="1" dxf="1">
    <nc r="D19" t="inlineStr">
      <is>
        <t>1 173,27р.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6" sId="35" odxf="1" dxf="1">
    <nc r="E19" t="inlineStr">
      <is>
        <t>1 287,74р.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7" sId="35" odxf="1" dxf="1">
    <nc r="F19" t="inlineStr">
      <is>
        <t>1 430,82р.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08" sId="35" odxf="1" dxf="1">
    <nc r="A20" t="inlineStr">
      <is>
        <t xml:space="preserve">Коньково-карнизная черепица Döcke PIE STANDARD/ Зеленый, Коричневый, Красный, Серый </t>
      </is>
    </nc>
    <odxf>
      <font>
        <i val="0"/>
        <sz val="11"/>
        <color theme="1"/>
        <name val="Calibri"/>
        <scheme val="minor"/>
      </font>
      <alignment vertical="bottom" readingOrder="0"/>
      <border outline="0">
        <left/>
        <right/>
        <bottom/>
      </border>
    </odxf>
    <ndxf>
      <font>
        <i/>
        <sz val="11"/>
        <color auto="1"/>
        <name val="Arial Narrow"/>
        <scheme val="none"/>
      </font>
      <alignment vertical="center" readingOrder="0"/>
      <border outline="0">
        <left style="thin">
          <color indexed="64"/>
        </left>
        <right style="thin">
          <color indexed="64"/>
        </right>
        <bottom style="thin">
          <color indexed="64"/>
        </bottom>
      </border>
    </ndxf>
  </rcc>
  <rcc rId="10509" sId="35" odxf="1" dxf="1">
    <nc r="B20">
      <v>11</v>
    </nc>
    <odxf>
      <font>
        <i val="0"/>
        <sz val="11"/>
        <color theme="1"/>
        <name val="Calibri"/>
        <scheme val="minor"/>
      </font>
      <alignment horizontal="general" vertical="bottom" readingOrder="0"/>
      <border outline="0">
        <left/>
        <right/>
        <bottom/>
      </border>
    </odxf>
    <ndxf>
      <font>
        <i/>
        <sz val="11"/>
        <color auto="1"/>
        <name val="Arial Narrow"/>
        <scheme val="none"/>
      </font>
      <alignment horizontal="center" vertical="center" readingOrder="0"/>
      <border outline="0">
        <left style="thin">
          <color indexed="64"/>
        </left>
        <right style="thin">
          <color indexed="64"/>
        </right>
        <bottom style="thin">
          <color indexed="64"/>
        </bottom>
      </border>
    </ndxf>
  </rcc>
  <rfmt sheetId="35" sqref="C20" start="0" length="0">
    <dxf>
      <font>
        <sz val="6"/>
        <color rgb="FFFF0000"/>
        <name val="Arial Narrow"/>
        <scheme val="none"/>
      </font>
      <numFmt numFmtId="2" formatCode="0.00"/>
      <fill>
        <patternFill patternType="solid">
          <bgColor theme="0"/>
        </patternFill>
      </fill>
      <alignment horizontal="center" vertical="center" readingOrder="0"/>
    </dxf>
  </rfmt>
  <rcc rId="10510" sId="35" odxf="1" dxf="1">
    <nc r="D20" t="inlineStr">
      <is>
        <t>2 296,69р.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1" sId="35" odxf="1" dxf="1">
    <nc r="E20" t="inlineStr">
      <is>
        <t>2 520,75р.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2" sId="35" odxf="1" dxf="1">
    <nc r="F20" t="inlineStr">
      <is>
        <t>2 800,84р.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21" start="0" length="0">
    <dxf>
      <font>
        <sz val="11"/>
        <color auto="1"/>
        <name val="Arial Narrow"/>
        <scheme val="none"/>
      </font>
      <fill>
        <patternFill patternType="solid">
          <bgColor theme="0"/>
        </patternFill>
      </fill>
      <alignment vertical="center" readingOrder="0"/>
    </dxf>
  </rfmt>
  <rfmt sheetId="35" sqref="B21" start="0" length="0">
    <dxf>
      <font>
        <sz val="11"/>
        <color auto="1"/>
        <name val="Arial Narrow"/>
        <scheme val="none"/>
      </font>
      <fill>
        <patternFill patternType="solid">
          <bgColor theme="0"/>
        </patternFill>
      </fill>
      <alignment vertical="center" readingOrder="0"/>
    </dxf>
  </rfmt>
  <rfmt sheetId="35" sqref="C21" start="0" length="0">
    <dxf>
      <font>
        <sz val="11"/>
        <color auto="1"/>
        <name val="Arial Narrow"/>
        <scheme val="none"/>
      </font>
      <numFmt numFmtId="2" formatCode="0.00"/>
      <fill>
        <patternFill patternType="solid">
          <bgColor theme="0"/>
        </patternFill>
      </fill>
      <alignment horizontal="center" vertical="center" readingOrder="0"/>
    </dxf>
  </rfmt>
  <rfmt sheetId="35" sqref="D21" start="0" length="0">
    <dxf>
      <font>
        <sz val="11"/>
        <color auto="1"/>
        <name val="Arial Narrow"/>
        <scheme val="none"/>
      </font>
      <numFmt numFmtId="13" formatCode="0%"/>
      <fill>
        <patternFill patternType="solid">
          <bgColor theme="9" tint="0.79998168889431442"/>
        </patternFill>
      </fill>
      <alignment vertical="center" readingOrder="0"/>
    </dxf>
  </rfmt>
  <rfmt sheetId="35" sqref="E21" start="0" length="0">
    <dxf>
      <font>
        <sz val="11"/>
        <color auto="1"/>
        <name val="Arial Narrow"/>
        <scheme val="none"/>
      </font>
      <numFmt numFmtId="13" formatCode="0%"/>
      <fill>
        <patternFill patternType="solid">
          <bgColor theme="9" tint="0.79998168889431442"/>
        </patternFill>
      </fill>
      <alignment vertical="center" readingOrder="0"/>
    </dxf>
  </rfmt>
  <rfmt sheetId="35" sqref="F21" start="0" length="0">
    <dxf>
      <font>
        <sz val="11"/>
        <color auto="1"/>
        <name val="Arial Narrow"/>
        <scheme val="none"/>
      </font>
      <numFmt numFmtId="13" formatCode="0%"/>
      <fill>
        <patternFill patternType="solid">
          <bgColor theme="9" tint="0.79998168889431442"/>
        </patternFill>
      </fill>
      <alignment vertical="center" readingOrder="0"/>
    </dxf>
  </rfmt>
  <rfmt sheetId="35" sqref="A22" start="0" length="0">
    <dxf>
      <font>
        <sz val="11"/>
        <color auto="1"/>
        <name val="Arial Narrow"/>
        <scheme val="none"/>
      </font>
      <fill>
        <patternFill patternType="solid">
          <bgColor theme="0"/>
        </patternFill>
      </fill>
      <alignment vertical="center" readingOrder="0"/>
    </dxf>
  </rfmt>
  <rfmt sheetId="35" sqref="B22" start="0" length="0">
    <dxf>
      <font>
        <sz val="11"/>
        <color auto="1"/>
        <name val="Arial Narrow"/>
        <scheme val="none"/>
      </font>
      <fill>
        <patternFill patternType="solid">
          <bgColor theme="0"/>
        </patternFill>
      </fill>
      <alignment vertical="center" readingOrder="0"/>
    </dxf>
  </rfmt>
  <rfmt sheetId="35" sqref="C22" start="0" length="0">
    <dxf>
      <font>
        <sz val="11"/>
        <color auto="1"/>
        <name val="Arial Narrow"/>
        <scheme val="none"/>
      </font>
      <fill>
        <patternFill patternType="solid">
          <bgColor theme="0"/>
        </patternFill>
      </fill>
      <alignment vertical="center" readingOrder="0"/>
    </dxf>
  </rfmt>
  <rfmt sheetId="35" sqref="D22" start="0" length="0">
    <dxf>
      <font>
        <sz val="11"/>
        <color auto="1"/>
        <name val="Arial Narrow"/>
        <scheme val="none"/>
      </font>
      <fill>
        <patternFill patternType="solid">
          <bgColor theme="0"/>
        </patternFill>
      </fill>
      <alignment vertical="center" readingOrder="0"/>
    </dxf>
  </rfmt>
  <rfmt sheetId="35" sqref="E22" start="0" length="0">
    <dxf>
      <font>
        <sz val="11"/>
        <color auto="1"/>
        <name val="Arial Narrow"/>
        <scheme val="none"/>
      </font>
      <fill>
        <patternFill patternType="solid">
          <bgColor theme="0"/>
        </patternFill>
      </fill>
      <alignment vertical="center" readingOrder="0"/>
    </dxf>
  </rfmt>
  <rfmt sheetId="35" sqref="F22" start="0" length="0">
    <dxf>
      <font>
        <sz val="11"/>
        <color auto="1"/>
        <name val="Arial Narrow"/>
        <scheme val="none"/>
      </font>
      <fill>
        <patternFill patternType="solid">
          <bgColor theme="0"/>
        </patternFill>
      </fill>
      <alignment vertical="center" readingOrder="0"/>
    </dxf>
  </rfmt>
  <rcc rId="10513" sId="35" odxf="1" dxf="1">
    <nc r="A23" t="inlineStr">
      <is>
        <t>Черепица Döcke PIE, серия PREMIUM</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514" sId="35" odxf="1" dxf="1">
    <nc r="B23">
      <f>B8</f>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23" start="0" length="0">
    <dxf>
      <font>
        <b/>
        <sz val="11"/>
        <color auto="1"/>
        <name val="Arial Narrow"/>
        <scheme val="none"/>
      </font>
      <numFmt numFmtId="2" formatCode="0.00"/>
      <fill>
        <patternFill patternType="solid">
          <bgColor theme="0"/>
        </patternFill>
      </fill>
      <alignment horizontal="center" vertical="center" readingOrder="0"/>
    </dxf>
  </rfmt>
  <rfmt sheetId="35" sqref="D2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2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23"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515" sId="35" odxf="1" dxf="1">
    <nc r="A24" t="inlineStr">
      <is>
        <t>Гибкая черепица Döcke PIE PREMIUM/ НИЦЦА/ Какао, Кофе, Клубника, Фладен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16" sId="35" odxf="1" dxf="1">
    <nc r="B24">
      <v>2.9</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4" start="0" length="0">
    <dxf>
      <font>
        <sz val="6"/>
        <color rgb="FFFF0000"/>
        <name val="Arial Narrow"/>
        <scheme val="none"/>
      </font>
      <numFmt numFmtId="2" formatCode="0.00"/>
      <fill>
        <patternFill patternType="solid">
          <bgColor theme="0"/>
        </patternFill>
      </fill>
      <alignment horizontal="center" vertical="center" readingOrder="0"/>
    </dxf>
  </rfmt>
  <rcc rId="10517" sId="35" odxf="1" dxf="1">
    <nc r="D24" t="inlineStr">
      <is>
        <t>995,51р.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8" sId="35" odxf="1" dxf="1">
    <nc r="E24" t="inlineStr">
      <is>
        <t>1 137,73р.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9" sId="35" odxf="1" dxf="1">
    <nc r="F24" t="inlineStr">
      <is>
        <t>1 292,87р.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20" sId="35" odxf="1" dxf="1">
    <nc r="A25" t="inlineStr">
      <is>
        <t>Гибкая черепица Döcke PIE PREMIUM/ КЁЛЬН/ Имбирь, Корица, Мята, Чернослив</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21" sId="35" odxf="1" dxf="1">
    <nc r="B25">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5" start="0" length="0">
    <dxf>
      <font>
        <sz val="6"/>
        <color rgb="FFFF0000"/>
        <name val="Arial Narrow"/>
        <scheme val="none"/>
      </font>
      <numFmt numFmtId="2" formatCode="0.00"/>
      <fill>
        <patternFill patternType="solid">
          <bgColor theme="0"/>
        </patternFill>
      </fill>
      <alignment horizontal="center" vertical="center" readingOrder="0"/>
    </dxf>
  </rfmt>
  <rcc rId="10522" sId="35" odxf="1" dxf="1">
    <nc r="D25" t="inlineStr">
      <is>
        <t>1 188,81р.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3" sId="35" odxf="1" dxf="1">
    <nc r="E25" t="inlineStr">
      <is>
        <t>1 358,64р.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4" sId="35" odxf="1" dxf="1">
    <nc r="F25" t="inlineStr">
      <is>
        <t>1 543,91р.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25" sId="35" odxf="1" dxf="1">
    <nc r="A26" t="inlineStr">
      <is>
        <t>Гибкая черепица Döcke PIE PREMIUM/ ШЕФФИЛД/ Бисквит, Кофе, Миндаль, Клубника</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26" sId="35" odxf="1" dxf="1">
    <nc r="B26">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6" start="0" length="0">
    <dxf>
      <font>
        <sz val="6"/>
        <color rgb="FFFF0000"/>
        <name val="Arial Narrow"/>
        <scheme val="none"/>
      </font>
      <numFmt numFmtId="2" formatCode="0.00"/>
      <fill>
        <patternFill patternType="solid">
          <bgColor theme="0"/>
        </patternFill>
      </fill>
      <alignment horizontal="center" vertical="center" readingOrder="0"/>
    </dxf>
  </rfmt>
  <rcc rId="10527" sId="35" odxf="1" dxf="1">
    <nc r="D26" t="inlineStr">
      <is>
        <t>1 224,48р.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8" sId="35" odxf="1" dxf="1">
    <nc r="E26" t="inlineStr">
      <is>
        <t>1 399,40р.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9" sId="35" odxf="1" dxf="1">
    <nc r="F26" t="inlineStr">
      <is>
        <t>1 590,23р.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30" sId="35" odxf="1" dxf="1">
    <nc r="A27" t="inlineStr">
      <is>
        <t xml:space="preserve">Гибкая черепица Döcke PIE PREMIUM/ ГРАНАДА/ Какао, Кофе, Кунжут, Инжир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31" sId="35" odxf="1" dxf="1">
    <nc r="B27">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7" start="0" length="0">
    <dxf>
      <font>
        <sz val="6"/>
        <color rgb="FFFF0000"/>
        <name val="Arial Narrow"/>
        <scheme val="none"/>
      </font>
      <numFmt numFmtId="2" formatCode="0.00"/>
      <fill>
        <patternFill patternType="solid">
          <bgColor theme="0"/>
        </patternFill>
      </fill>
      <alignment horizontal="center" vertical="center" readingOrder="0"/>
    </dxf>
  </rfmt>
  <rcc rId="10532" sId="35" odxf="1" dxf="1">
    <nc r="D27" t="inlineStr">
      <is>
        <t>1 224,48р.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3" sId="35" odxf="1" dxf="1">
    <nc r="E27" t="inlineStr">
      <is>
        <t>1 399,40р.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4" sId="35" odxf="1" dxf="1">
    <nc r="F27" t="inlineStr">
      <is>
        <t>1 590,23р.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35" sId="35" odxf="1" dxf="1">
    <nc r="A28" t="inlineStr">
      <is>
        <t>Гибкая черепица Döcke PIE PREMIUM/ ГЕНУЯ/ Амаретто, Трюфель, Канноли, Мускат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36" sId="35" odxf="1" dxf="1">
    <nc r="B28">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8" start="0" length="0">
    <dxf>
      <font>
        <sz val="6"/>
        <color rgb="FFFF0000"/>
        <name val="Arial Narrow"/>
        <scheme val="none"/>
      </font>
      <numFmt numFmtId="2" formatCode="0.00"/>
      <fill>
        <patternFill patternType="solid">
          <bgColor theme="0"/>
        </patternFill>
      </fill>
      <alignment horizontal="center" vertical="center" readingOrder="0"/>
    </dxf>
  </rfmt>
  <rcc rId="10537" sId="35" odxf="1" dxf="1">
    <nc r="D28" t="inlineStr">
      <is>
        <t>1 224,48р.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8" sId="35" odxf="1" dxf="1">
    <nc r="E28" t="inlineStr">
      <is>
        <t>1 399,40р.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9" sId="35" odxf="1" dxf="1">
    <nc r="F28" t="inlineStr">
      <is>
        <t>1 590,23р.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40" sId="35" odxf="1" dxf="1">
    <nc r="A29" t="inlineStr">
      <is>
        <t>Гибкая черепица Döcke PIE PREMIUM/ ЛЬЕЖ/  Грильяж, Ирис, Барбарис , Изюм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41" sId="35" odxf="1" dxf="1">
    <nc r="B29">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9" start="0" length="0">
    <dxf>
      <font>
        <sz val="6"/>
        <color rgb="FFFF0000"/>
        <name val="Arial Narrow"/>
        <scheme val="none"/>
      </font>
      <numFmt numFmtId="2" formatCode="0.00"/>
      <fill>
        <patternFill patternType="solid">
          <bgColor theme="0"/>
        </patternFill>
      </fill>
      <alignment horizontal="center" vertical="center" readingOrder="0"/>
    </dxf>
  </rfmt>
  <rcc rId="10542" sId="35" odxf="1" dxf="1">
    <nc r="D29" t="inlineStr">
      <is>
        <t>1 412,67р.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3" sId="35" odxf="1" dxf="1">
    <nc r="E29" t="inlineStr">
      <is>
        <t>1 614,48р.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4" sId="35" odxf="1" dxf="1">
    <nc r="F29" t="inlineStr">
      <is>
        <t>1 834,64р.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45" sId="35" odxf="1" dxf="1">
    <nc r="A30" t="inlineStr">
      <is>
        <t xml:space="preserve">Гибкая черепица Döcke PIE PREMIUM/ ЦЮРИХ/ Арахис, Кофе, Чили, Фладен, Изюм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46" sId="35" odxf="1" dxf="1">
    <nc r="B30">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0" start="0" length="0">
    <dxf>
      <font>
        <sz val="6"/>
        <color rgb="FFFF0000"/>
        <name val="Arial Narrow"/>
        <scheme val="none"/>
      </font>
      <numFmt numFmtId="2" formatCode="0.00"/>
      <alignment horizontal="center" vertical="center" readingOrder="0"/>
    </dxf>
  </rfmt>
  <rcc rId="10547" sId="35" odxf="1" dxf="1">
    <nc r="D30" t="inlineStr">
      <is>
        <t>1 479,94р.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8" sId="35" odxf="1" dxf="1">
    <nc r="E30" t="inlineStr">
      <is>
        <t>1 691,36р.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9" sId="35" odxf="1" dxf="1">
    <nc r="F30" t="inlineStr">
      <is>
        <t>1 922,00р.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50" sId="35" odxf="1" dxf="1">
    <nc r="A31" t="inlineStr">
      <is>
        <t xml:space="preserve">Гибкая черепица Döcke PIE PREMIUM/ ЖЕНЕВА/ Арахис, Кофе, Чили, Фладен, Изюм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51" sId="35" odxf="1" dxf="1">
    <nc r="B31">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1" start="0" length="0">
    <dxf>
      <font>
        <sz val="6"/>
        <color rgb="FFFF0000"/>
        <name val="Arial Narrow"/>
        <scheme val="none"/>
      </font>
      <numFmt numFmtId="2" formatCode="0.00"/>
      <fill>
        <patternFill patternType="solid">
          <bgColor theme="0"/>
        </patternFill>
      </fill>
      <alignment horizontal="center" vertical="center" readingOrder="0"/>
    </dxf>
  </rfmt>
  <rcc rId="10552" sId="35" odxf="1" dxf="1">
    <nc r="D31" t="inlineStr">
      <is>
        <t>1 535,56р.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3" sId="35" odxf="1" dxf="1">
    <nc r="E31" t="inlineStr">
      <is>
        <t>1 754,93р.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4" sId="35" odxf="1" dxf="1">
    <nc r="F31" t="inlineStr">
      <is>
        <t>1 994,24р.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55" sId="35" odxf="1" dxf="1">
    <nc r="A32" t="inlineStr">
      <is>
        <t>Гибкая черепица Döcke PIE PREMIUM/ САППОРО/ Вагаси, Кофе, Мускат, Слива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56" sId="35" odxf="1" dxf="1">
    <nc r="B32">
      <v>2.4</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2" start="0" length="0">
    <dxf>
      <font>
        <sz val="6"/>
        <color rgb="FFFF0000"/>
        <name val="Arial Narrow"/>
        <scheme val="none"/>
      </font>
      <numFmt numFmtId="2" formatCode="0.00"/>
      <fill>
        <patternFill patternType="solid">
          <bgColor theme="0"/>
        </patternFill>
      </fill>
      <alignment horizontal="center" vertical="center" readingOrder="0"/>
    </dxf>
  </rfmt>
  <rcc rId="10557" sId="35" odxf="1" dxf="1">
    <nc r="D32" t="inlineStr">
      <is>
        <t>1 398,57р.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8" sId="35" odxf="1" dxf="1">
    <nc r="E32" t="inlineStr">
      <is>
        <t>1 598,37р.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9" sId="35" odxf="1" dxf="1">
    <nc r="F32" t="inlineStr">
      <is>
        <t>1 816,33р.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60" sId="35" odxf="1" dxf="1">
    <nc r="A33" t="inlineStr">
      <is>
        <t>Коньково-карнизная черепица Döcke PIE PREMIUM/ Все цвета</t>
      </is>
    </nc>
    <odxf>
      <font>
        <i val="0"/>
        <sz val="11"/>
        <color theme="1"/>
        <name val="Calibri"/>
        <scheme val="minor"/>
      </font>
      <alignment vertical="bottom" readingOrder="0"/>
      <border outline="0">
        <left/>
        <right/>
        <top/>
        <bottom/>
      </border>
    </odxf>
    <ndxf>
      <font>
        <i/>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61" sId="35" odxf="1" dxf="1">
    <nc r="B33">
      <v>11</v>
    </nc>
    <odxf>
      <font>
        <i val="0"/>
        <sz val="11"/>
        <color theme="1"/>
        <name val="Calibri"/>
        <scheme val="minor"/>
      </font>
      <alignment horizontal="general" vertical="bottom" readingOrder="0"/>
      <border outline="0">
        <left/>
        <right/>
        <top/>
        <bottom/>
      </border>
    </odxf>
    <ndxf>
      <font>
        <i/>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3" start="0" length="0">
    <dxf>
      <font>
        <sz val="6"/>
        <color rgb="FFFF0000"/>
        <name val="Arial Narrow"/>
        <scheme val="none"/>
      </font>
      <numFmt numFmtId="2" formatCode="0.00"/>
      <fill>
        <patternFill patternType="solid">
          <bgColor theme="0"/>
        </patternFill>
      </fill>
      <alignment horizontal="center" vertical="center" readingOrder="0"/>
    </dxf>
  </rfmt>
  <rcc rId="10562" sId="35" odxf="1" dxf="1">
    <nc r="D33" t="inlineStr">
      <is>
        <t>2 585,79р.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63" sId="35" odxf="1" dxf="1">
    <nc r="E33" t="inlineStr">
      <is>
        <t>2 955,19р.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64" sId="35" odxf="1" dxf="1">
    <nc r="F33" t="inlineStr">
      <is>
        <t>3 358,17р.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34" start="0" length="0">
    <dxf>
      <font>
        <sz val="11"/>
        <color auto="1"/>
        <name val="Arial Narrow"/>
        <scheme val="none"/>
      </font>
      <fill>
        <patternFill patternType="solid">
          <bgColor theme="0"/>
        </patternFill>
      </fill>
      <alignment vertical="center" readingOrder="0"/>
    </dxf>
  </rfmt>
  <rfmt sheetId="35" sqref="B34" start="0" length="0">
    <dxf>
      <font>
        <sz val="11"/>
        <color auto="1"/>
        <name val="Arial Narrow"/>
        <scheme val="none"/>
      </font>
      <fill>
        <patternFill patternType="solid">
          <bgColor theme="0"/>
        </patternFill>
      </fill>
      <alignment vertical="center" readingOrder="0"/>
    </dxf>
  </rfmt>
  <rfmt sheetId="35" sqref="C34" start="0" length="0">
    <dxf>
      <font>
        <sz val="11"/>
        <color auto="1"/>
        <name val="Arial Narrow"/>
        <scheme val="none"/>
      </font>
      <fill>
        <patternFill patternType="solid">
          <bgColor theme="0"/>
        </patternFill>
      </fill>
      <alignment vertical="center" readingOrder="0"/>
    </dxf>
  </rfmt>
  <rfmt sheetId="35" sqref="D34" start="0" length="0">
    <dxf>
      <font>
        <sz val="11"/>
        <color auto="1"/>
        <name val="Arial Narrow"/>
        <scheme val="none"/>
      </font>
      <numFmt numFmtId="13" formatCode="0%"/>
      <fill>
        <patternFill patternType="solid">
          <bgColor theme="9" tint="0.79998168889431442"/>
        </patternFill>
      </fill>
      <alignment vertical="center" readingOrder="0"/>
    </dxf>
  </rfmt>
  <rfmt sheetId="35" sqref="E34" start="0" length="0">
    <dxf>
      <font>
        <sz val="11"/>
        <color auto="1"/>
        <name val="Arial Narrow"/>
        <scheme val="none"/>
      </font>
      <numFmt numFmtId="13" formatCode="0%"/>
      <fill>
        <patternFill patternType="solid">
          <bgColor theme="9" tint="0.79998168889431442"/>
        </patternFill>
      </fill>
      <alignment vertical="center" readingOrder="0"/>
    </dxf>
  </rfmt>
  <rfmt sheetId="35" sqref="F34" start="0" length="0">
    <dxf>
      <font>
        <sz val="11"/>
        <color auto="1"/>
        <name val="Arial Narrow"/>
        <scheme val="none"/>
      </font>
      <numFmt numFmtId="13" formatCode="0%"/>
      <fill>
        <patternFill patternType="solid">
          <bgColor theme="9" tint="0.79998168889431442"/>
        </patternFill>
      </fill>
      <alignment vertical="center" readingOrder="0"/>
    </dxf>
  </rfmt>
  <rfmt sheetId="35" sqref="A35" start="0" length="0">
    <dxf>
      <font>
        <sz val="11"/>
        <color auto="1"/>
        <name val="Arial Narrow"/>
        <scheme val="none"/>
      </font>
      <fill>
        <patternFill patternType="solid">
          <bgColor theme="0"/>
        </patternFill>
      </fill>
      <alignment vertical="center" readingOrder="0"/>
    </dxf>
  </rfmt>
  <rfmt sheetId="35" sqref="B35" start="0" length="0">
    <dxf>
      <font>
        <sz val="11"/>
        <color auto="1"/>
        <name val="Arial Narrow"/>
        <scheme val="none"/>
      </font>
      <fill>
        <patternFill patternType="solid">
          <bgColor theme="0"/>
        </patternFill>
      </fill>
      <alignment vertical="center" readingOrder="0"/>
    </dxf>
  </rfmt>
  <rfmt sheetId="35" sqref="C35" start="0" length="0">
    <dxf>
      <font>
        <sz val="11"/>
        <color auto="1"/>
        <name val="Arial Narrow"/>
        <scheme val="none"/>
      </font>
      <fill>
        <patternFill patternType="solid">
          <bgColor theme="0"/>
        </patternFill>
      </fill>
      <alignment vertical="center" readingOrder="0"/>
    </dxf>
  </rfmt>
  <rfmt sheetId="35" sqref="D35" start="0" length="0">
    <dxf>
      <font>
        <sz val="11"/>
        <color auto="1"/>
        <name val="Arial Narrow"/>
        <scheme val="none"/>
      </font>
      <fill>
        <patternFill patternType="solid">
          <bgColor theme="0"/>
        </patternFill>
      </fill>
      <alignment vertical="center" readingOrder="0"/>
    </dxf>
  </rfmt>
  <rfmt sheetId="35" sqref="E35" start="0" length="0">
    <dxf>
      <font>
        <sz val="11"/>
        <color auto="1"/>
        <name val="Arial Narrow"/>
        <scheme val="none"/>
      </font>
      <fill>
        <patternFill patternType="solid">
          <bgColor theme="0"/>
        </patternFill>
      </fill>
      <alignment vertical="center" readingOrder="0"/>
    </dxf>
  </rfmt>
  <rfmt sheetId="35" sqref="F35" start="0" length="0">
    <dxf>
      <font>
        <sz val="11"/>
        <color auto="1"/>
        <name val="Arial Narrow"/>
        <scheme val="none"/>
      </font>
      <fill>
        <patternFill patternType="solid">
          <bgColor theme="0"/>
        </patternFill>
      </fill>
      <alignment vertical="center" readingOrder="0"/>
    </dxf>
  </rfmt>
  <rcc rId="10565" sId="35" odxf="1" dxf="1">
    <nc r="A36" t="inlineStr">
      <is>
        <t>Ендовые ковры Döcke PIE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566" sId="35" odxf="1" dxf="1">
    <nc r="B36" t="inlineStr">
      <is>
        <t>п.м.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36" start="0" length="0">
    <dxf>
      <font>
        <b/>
        <sz val="11"/>
        <color auto="1"/>
        <name val="Arial Narrow"/>
        <scheme val="none"/>
      </font>
      <numFmt numFmtId="2" formatCode="0.00"/>
      <fill>
        <patternFill patternType="solid">
          <bgColor theme="0"/>
        </patternFill>
      </fill>
      <alignment horizontal="center" vertical="center" readingOrder="0"/>
    </dxf>
  </rfmt>
  <rfmt sheetId="35" sqref="D3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3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36"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567" sId="35" odxf="1" dxf="1">
    <nc r="A37" t="inlineStr">
      <is>
        <t>Ендовый ковер Döcke PIE/ 1000/  Все цвета</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68" sId="35" odxf="1" dxf="1">
    <nc r="B37">
      <v>10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7" start="0" length="0">
    <dxf>
      <font>
        <sz val="6"/>
        <color rgb="FFFF0000"/>
        <name val="Arial Narrow"/>
        <scheme val="none"/>
      </font>
      <numFmt numFmtId="2" formatCode="0.00"/>
      <fill>
        <patternFill patternType="solid">
          <bgColor theme="0"/>
        </patternFill>
      </fill>
      <alignment horizontal="center" vertical="center" readingOrder="0"/>
    </dxf>
  </rfmt>
  <rcc rId="10569" sId="35" odxf="1" dxf="1">
    <nc r="D37" t="inlineStr">
      <is>
        <t>3 476,67р.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0" sId="35" odxf="1" dxf="1">
    <nc r="E37" t="inlineStr">
      <is>
        <t>4 063,64р.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1" sId="35" odxf="1" dxf="1">
    <nc r="F37" t="inlineStr">
      <is>
        <t>4 515,15р.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38" start="0" length="0">
    <dxf>
      <font>
        <sz val="11"/>
        <color auto="1"/>
        <name val="Arial Narrow"/>
        <scheme val="none"/>
      </font>
      <fill>
        <patternFill patternType="solid">
          <bgColor theme="0"/>
        </patternFill>
      </fill>
      <alignment vertical="center" readingOrder="0"/>
    </dxf>
  </rfmt>
  <rfmt sheetId="35" sqref="B38" start="0" length="0">
    <dxf>
      <font>
        <sz val="11"/>
        <color auto="1"/>
        <name val="Arial Narrow"/>
        <scheme val="none"/>
      </font>
      <fill>
        <patternFill patternType="solid">
          <bgColor theme="0"/>
        </patternFill>
      </fill>
      <alignment vertical="center" readingOrder="0"/>
    </dxf>
  </rfmt>
  <rfmt sheetId="35" sqref="C38" start="0" length="0">
    <dxf>
      <font>
        <sz val="11"/>
        <color auto="1"/>
        <name val="Arial Narrow"/>
        <scheme val="none"/>
      </font>
      <fill>
        <patternFill patternType="solid">
          <bgColor theme="0"/>
        </patternFill>
      </fill>
      <alignment vertical="center" readingOrder="0"/>
    </dxf>
  </rfmt>
  <rfmt sheetId="35" sqref="D38" start="0" length="0">
    <dxf>
      <font>
        <sz val="11"/>
        <color auto="1"/>
        <name val="Arial Narrow"/>
        <scheme val="none"/>
      </font>
      <numFmt numFmtId="13" formatCode="0%"/>
      <fill>
        <patternFill patternType="solid">
          <bgColor theme="9" tint="0.79998168889431442"/>
        </patternFill>
      </fill>
      <alignment vertical="center" readingOrder="0"/>
    </dxf>
  </rfmt>
  <rfmt sheetId="35" sqref="E38" start="0" length="0">
    <dxf>
      <font>
        <sz val="11"/>
        <color auto="1"/>
        <name val="Arial Narrow"/>
        <scheme val="none"/>
      </font>
      <numFmt numFmtId="13" formatCode="0%"/>
      <fill>
        <patternFill patternType="solid">
          <bgColor theme="9" tint="0.79998168889431442"/>
        </patternFill>
      </fill>
      <alignment vertical="center" readingOrder="0"/>
    </dxf>
  </rfmt>
  <rfmt sheetId="35" sqref="F38" start="0" length="0">
    <dxf>
      <font>
        <sz val="11"/>
        <color auto="1"/>
        <name val="Arial Narrow"/>
        <scheme val="none"/>
      </font>
      <numFmt numFmtId="13" formatCode="0%"/>
      <fill>
        <patternFill patternType="solid">
          <bgColor theme="9" tint="0.79998168889431442"/>
        </patternFill>
      </fill>
      <alignment vertical="center" readingOrder="0"/>
    </dxf>
  </rfmt>
  <rfmt sheetId="35" sqref="A39" start="0" length="0">
    <dxf>
      <font>
        <sz val="11"/>
        <color auto="1"/>
        <name val="Arial Narrow"/>
        <scheme val="none"/>
      </font>
      <fill>
        <patternFill patternType="solid">
          <bgColor theme="0"/>
        </patternFill>
      </fill>
      <alignment vertical="center" readingOrder="0"/>
    </dxf>
  </rfmt>
  <rfmt sheetId="35" sqref="B39" start="0" length="0">
    <dxf>
      <font>
        <sz val="11"/>
        <color auto="1"/>
        <name val="Arial Narrow"/>
        <scheme val="none"/>
      </font>
      <fill>
        <patternFill patternType="solid">
          <bgColor theme="0"/>
        </patternFill>
      </fill>
      <alignment vertical="center" readingOrder="0"/>
    </dxf>
  </rfmt>
  <rfmt sheetId="35" sqref="C39" start="0" length="0">
    <dxf>
      <font>
        <sz val="11"/>
        <color auto="1"/>
        <name val="Arial Narrow"/>
        <scheme val="none"/>
      </font>
      <fill>
        <patternFill patternType="solid">
          <bgColor theme="0"/>
        </patternFill>
      </fill>
      <alignment vertical="center" readingOrder="0"/>
    </dxf>
  </rfmt>
  <rfmt sheetId="35" sqref="D39" start="0" length="0">
    <dxf>
      <font>
        <sz val="11"/>
        <color auto="1"/>
        <name val="Arial Narrow"/>
        <scheme val="none"/>
      </font>
      <fill>
        <patternFill patternType="solid">
          <bgColor theme="0"/>
        </patternFill>
      </fill>
      <alignment vertical="center" readingOrder="0"/>
    </dxf>
  </rfmt>
  <rfmt sheetId="35" sqref="E39" start="0" length="0">
    <dxf>
      <font>
        <sz val="11"/>
        <color auto="1"/>
        <name val="Arial Narrow"/>
        <scheme val="none"/>
      </font>
      <fill>
        <patternFill patternType="solid">
          <bgColor theme="0"/>
        </patternFill>
      </fill>
      <alignment vertical="center" readingOrder="0"/>
    </dxf>
  </rfmt>
  <rfmt sheetId="35" sqref="F39" start="0" length="0">
    <dxf>
      <font>
        <sz val="11"/>
        <color auto="1"/>
        <name val="Arial Narrow"/>
        <scheme val="none"/>
      </font>
      <fill>
        <patternFill patternType="solid">
          <bgColor theme="0"/>
        </patternFill>
      </fill>
      <alignment vertical="center" readingOrder="0"/>
    </dxf>
  </rfmt>
  <rcc rId="10572" sId="35" odxf="1" dxf="1">
    <nc r="A40" t="inlineStr">
      <is>
        <t>Подкладочные ковры</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573" sId="35" odxf="1" dxf="1">
    <nc r="B40" t="inlineStr">
      <is>
        <t>кв.м.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40" start="0" length="0">
    <dxf>
      <font>
        <b/>
        <sz val="11"/>
        <color auto="1"/>
        <name val="Arial Narrow"/>
        <scheme val="none"/>
      </font>
      <numFmt numFmtId="2" formatCode="0.00"/>
      <fill>
        <patternFill patternType="solid">
          <bgColor theme="0"/>
        </patternFill>
      </fill>
      <alignment horizontal="center" vertical="center" readingOrder="0"/>
    </dxf>
  </rfmt>
  <rfmt sheetId="35" sqref="D4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4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40"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574" sId="35" odxf="1" dxf="1">
    <nc r="A41" t="inlineStr">
      <is>
        <t>Подкладочный ковер STANDARD , 15 м</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75" sId="35" odxf="1" dxf="1">
    <nc r="B41">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1" start="0" length="0">
    <dxf>
      <font>
        <sz val="6"/>
        <color rgb="FFFF0000"/>
        <name val="Arial Narrow"/>
        <scheme val="none"/>
      </font>
      <numFmt numFmtId="2" formatCode="0.00"/>
      <fill>
        <patternFill patternType="solid">
          <bgColor theme="0"/>
        </patternFill>
      </fill>
      <alignment horizontal="center" vertical="center" readingOrder="0"/>
    </dxf>
  </rfmt>
  <rcc rId="10576" sId="35" odxf="1" dxf="1">
    <nc r="D41" t="inlineStr">
      <is>
        <t>862,05р.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7" sId="35" odxf="1" dxf="1">
    <nc r="E41" t="inlineStr">
      <is>
        <t>1 007,59р.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8" sId="35" odxf="1" dxf="1">
    <nc r="F41" t="inlineStr">
      <is>
        <t>1 119,55р.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79" sId="35" odxf="1" dxf="1">
    <nc r="A42" t="inlineStr">
      <is>
        <t>Подкладочный ковер STANDARD PLUS , 15 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80" sId="35" odxf="1" dxf="1">
    <nc r="B42">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2" start="0" length="0">
    <dxf>
      <font>
        <sz val="6"/>
        <color rgb="FFFF0000"/>
        <name val="Arial Narrow"/>
        <scheme val="none"/>
      </font>
      <numFmt numFmtId="2" formatCode="0.00"/>
      <fill>
        <patternFill patternType="solid">
          <bgColor theme="0"/>
        </patternFill>
      </fill>
      <alignment horizontal="center" vertical="center" readingOrder="0"/>
    </dxf>
  </rfmt>
  <rcc rId="10581" sId="35" odxf="1" dxf="1">
    <nc r="D42" t="inlineStr">
      <is>
        <t>909,13р.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2" sId="35" odxf="1" dxf="1">
    <nc r="E42" t="inlineStr">
      <is>
        <t>1 062,61р.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3" sId="35" odxf="1" dxf="1">
    <nc r="F42" t="inlineStr">
      <is>
        <t>1 180,68р.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84" sId="35" odxf="1" dxf="1">
    <nc r="A43" t="inlineStr">
      <is>
        <t>Подкладочный ковер СOMFORT GLASS, 30 м,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85" sId="35" odxf="1" dxf="1">
    <nc r="B4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3" start="0" length="0">
    <dxf>
      <font>
        <sz val="6"/>
        <color rgb="FFFF0000"/>
        <name val="Arial Narrow"/>
        <scheme val="none"/>
      </font>
      <numFmt numFmtId="2" formatCode="0.00"/>
      <fill>
        <patternFill patternType="solid">
          <bgColor theme="0"/>
        </patternFill>
      </fill>
      <alignment horizontal="center" vertical="center" readingOrder="0"/>
    </dxf>
  </rfmt>
  <rcc rId="10586" sId="35" odxf="1" dxf="1">
    <nc r="D43" t="inlineStr">
      <is>
        <t>2 241,75р.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7" sId="35" odxf="1" dxf="1">
    <nc r="E43" t="inlineStr">
      <is>
        <t>2 620,23р.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8" sId="35" odxf="1" dxf="1">
    <nc r="F43" t="inlineStr">
      <is>
        <t>2 911,36р.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89" sId="35" odxf="1" dxf="1">
    <nc r="A44" t="inlineStr">
      <is>
        <t>Подкладочный ковер СOMFORT GLASS, 15 м,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90" sId="35" odxf="1" dxf="1">
    <nc r="B44">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4" start="0" length="0">
    <dxf>
      <font>
        <sz val="6"/>
        <color rgb="FFFF0000"/>
        <name val="Arial Narrow"/>
        <scheme val="none"/>
      </font>
      <numFmt numFmtId="2" formatCode="0.00"/>
      <fill>
        <patternFill patternType="solid">
          <bgColor theme="0"/>
        </patternFill>
      </fill>
      <alignment horizontal="center" vertical="center" readingOrder="0"/>
    </dxf>
  </rfmt>
  <rcc rId="10591" sId="35" odxf="1" dxf="1">
    <nc r="D44" t="inlineStr">
      <is>
        <t>1 120,88р.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2" sId="35" odxf="1" dxf="1">
    <nc r="E44" t="inlineStr">
      <is>
        <t>1 310,11р.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3" sId="35" odxf="1" dxf="1">
    <nc r="F44" t="inlineStr">
      <is>
        <t>1 455,68р.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94" sId="35" odxf="1" dxf="1">
    <nc r="A45" t="inlineStr">
      <is>
        <t>Подкладочный ковер СOMFORT, 40 м,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95" sId="35" odxf="1" dxf="1">
    <nc r="B45">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5" start="0" length="0">
    <dxf>
      <font>
        <sz val="6"/>
        <color rgb="FFFF0000"/>
        <name val="Arial Narrow"/>
        <scheme val="none"/>
      </font>
      <numFmt numFmtId="2" formatCode="0.00"/>
      <fill>
        <patternFill patternType="solid">
          <bgColor theme="0"/>
        </patternFill>
      </fill>
      <alignment horizontal="center" vertical="center" readingOrder="0"/>
    </dxf>
  </rfmt>
  <rcc rId="10596" sId="35" odxf="1" dxf="1">
    <nc r="D45" t="inlineStr">
      <is>
        <t>3 634,40р.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7" sId="35" odxf="1" dxf="1">
    <nc r="E45" t="inlineStr">
      <is>
        <t>4 248,00р.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8" sId="35" odxf="1" dxf="1">
    <nc r="F45" t="inlineStr">
      <is>
        <t>4 720,00р.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99" sId="35" odxf="1" dxf="1">
    <nc r="A46" t="inlineStr">
      <is>
        <t>Подкладочный ковёр FIX GLASS, 30 м, самоклеящийся,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600" sId="35" odxf="1" dxf="1">
    <nc r="B46">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6" start="0" length="0">
    <dxf>
      <font>
        <sz val="6"/>
        <color rgb="FFFF0000"/>
        <name val="Arial Narrow"/>
        <scheme val="none"/>
      </font>
      <numFmt numFmtId="2" formatCode="0.00"/>
      <fill>
        <patternFill patternType="solid">
          <bgColor theme="0"/>
        </patternFill>
      </fill>
      <alignment horizontal="center" vertical="center" readingOrder="0"/>
    </dxf>
  </rfmt>
  <rcc rId="10601" sId="35" odxf="1" dxf="1">
    <nc r="D46" t="inlineStr">
      <is>
        <t>3 636,15р.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2" sId="35" odxf="1" dxf="1">
    <nc r="E46" t="inlineStr">
      <is>
        <t>4 250,05р.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3" sId="35" odxf="1" dxf="1">
    <nc r="F46" t="inlineStr">
      <is>
        <t>4 722,27р.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04" sId="35" odxf="1" dxf="1">
    <nc r="A47" t="inlineStr">
      <is>
        <t>Подкладочный ковёр FIX PLAST, 15 м, самоклеящийся,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605" sId="35" odxf="1" dxf="1">
    <nc r="B47">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7" start="0" length="0">
    <dxf>
      <font>
        <sz val="6"/>
        <color rgb="FFFF0000"/>
        <name val="Arial Narrow"/>
        <scheme val="none"/>
      </font>
      <numFmt numFmtId="2" formatCode="0.00"/>
      <fill>
        <patternFill patternType="solid">
          <bgColor theme="0"/>
        </patternFill>
      </fill>
      <alignment horizontal="center" vertical="center" readingOrder="0"/>
    </dxf>
  </rfmt>
  <rcc rId="10606" sId="35" odxf="1" dxf="1">
    <nc r="D47" t="inlineStr">
      <is>
        <t>2 342,90р.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7" sId="35" odxf="1" dxf="1">
    <nc r="E47" t="inlineStr">
      <is>
        <t>2 738,45р.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8" sId="35" odxf="1" dxf="1">
    <nc r="F47" t="inlineStr">
      <is>
        <t>3 042,73р.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48" start="0" length="0">
    <dxf>
      <font>
        <sz val="11"/>
        <color theme="1"/>
        <name val="Arial Narrow"/>
        <scheme val="none"/>
      </font>
      <fill>
        <patternFill patternType="solid">
          <bgColor theme="0"/>
        </patternFill>
      </fill>
      <alignment vertical="center" readingOrder="0"/>
    </dxf>
  </rfmt>
  <rfmt sheetId="35" sqref="B48" start="0" length="0">
    <dxf>
      <font>
        <sz val="11"/>
        <color theme="1"/>
        <name val="Arial Narrow"/>
        <scheme val="none"/>
      </font>
      <fill>
        <patternFill patternType="solid">
          <bgColor theme="0"/>
        </patternFill>
      </fill>
      <alignment vertical="center" readingOrder="0"/>
    </dxf>
  </rfmt>
  <rfmt sheetId="35" sqref="C48" start="0" length="0">
    <dxf>
      <font>
        <sz val="11"/>
        <color theme="1"/>
        <name val="Arial Narrow"/>
        <scheme val="none"/>
      </font>
      <fill>
        <patternFill patternType="solid">
          <bgColor theme="0"/>
        </patternFill>
      </fill>
      <alignment vertical="center" readingOrder="0"/>
    </dxf>
  </rfmt>
  <rfmt sheetId="35" sqref="D48" start="0" length="0">
    <dxf>
      <font>
        <sz val="11"/>
        <color auto="1"/>
        <name val="Arial Narrow"/>
        <scheme val="none"/>
      </font>
      <numFmt numFmtId="13" formatCode="0%"/>
      <fill>
        <patternFill patternType="solid">
          <bgColor theme="9" tint="0.79998168889431442"/>
        </patternFill>
      </fill>
      <alignment vertical="center" readingOrder="0"/>
    </dxf>
  </rfmt>
  <rfmt sheetId="35" sqref="E48" start="0" length="0">
    <dxf>
      <font>
        <sz val="11"/>
        <color auto="1"/>
        <name val="Arial Narrow"/>
        <scheme val="none"/>
      </font>
      <numFmt numFmtId="13" formatCode="0%"/>
      <fill>
        <patternFill patternType="solid">
          <bgColor theme="9" tint="0.79998168889431442"/>
        </patternFill>
      </fill>
      <alignment vertical="center" readingOrder="0"/>
    </dxf>
  </rfmt>
  <rfmt sheetId="35" sqref="F48" start="0" length="0">
    <dxf>
      <font>
        <sz val="11"/>
        <color auto="1"/>
        <name val="Arial Narrow"/>
        <scheme val="none"/>
      </font>
      <numFmt numFmtId="13" formatCode="0%"/>
      <fill>
        <patternFill patternType="solid">
          <bgColor theme="9" tint="0.79998168889431442"/>
        </patternFill>
      </fill>
      <alignment vertical="center" readingOrder="0"/>
    </dxf>
  </rfmt>
  <rfmt sheetId="35" sqref="A49" start="0" length="0">
    <dxf>
      <font>
        <sz val="11"/>
        <color auto="1"/>
        <name val="Arial Narrow"/>
        <scheme val="none"/>
      </font>
      <fill>
        <patternFill patternType="solid">
          <bgColor theme="0"/>
        </patternFill>
      </fill>
      <alignment vertical="center" readingOrder="0"/>
    </dxf>
  </rfmt>
  <rfmt sheetId="35" sqref="B49" start="0" length="0">
    <dxf>
      <font>
        <sz val="11"/>
        <color auto="1"/>
        <name val="Arial Narrow"/>
        <scheme val="none"/>
      </font>
      <fill>
        <patternFill patternType="solid">
          <bgColor theme="0"/>
        </patternFill>
      </fill>
      <alignment vertical="center" readingOrder="0"/>
    </dxf>
  </rfmt>
  <rfmt sheetId="35" sqref="C49" start="0" length="0">
    <dxf>
      <font>
        <sz val="11"/>
        <color auto="1"/>
        <name val="Arial Narrow"/>
        <scheme val="none"/>
      </font>
      <fill>
        <patternFill patternType="solid">
          <bgColor theme="0"/>
        </patternFill>
      </fill>
      <alignment vertical="center" readingOrder="0"/>
    </dxf>
  </rfmt>
  <rfmt sheetId="35" sqref="D49" start="0" length="0">
    <dxf>
      <font>
        <sz val="11"/>
        <color auto="1"/>
        <name val="Arial Narrow"/>
        <scheme val="none"/>
      </font>
      <fill>
        <patternFill patternType="solid">
          <bgColor theme="0"/>
        </patternFill>
      </fill>
      <alignment vertical="center" readingOrder="0"/>
    </dxf>
  </rfmt>
  <rfmt sheetId="35" sqref="E49" start="0" length="0">
    <dxf>
      <font>
        <sz val="11"/>
        <color auto="1"/>
        <name val="Arial Narrow"/>
        <scheme val="none"/>
      </font>
      <fill>
        <patternFill patternType="solid">
          <bgColor theme="0"/>
        </patternFill>
      </fill>
      <alignment vertical="center" readingOrder="0"/>
    </dxf>
  </rfmt>
  <rfmt sheetId="35" sqref="F49" start="0" length="0">
    <dxf>
      <font>
        <sz val="11"/>
        <color auto="1"/>
        <name val="Arial Narrow"/>
        <scheme val="none"/>
      </font>
      <fill>
        <patternFill patternType="solid">
          <bgColor theme="0"/>
        </patternFill>
      </fill>
      <alignment vertical="center" readingOrder="0"/>
    </dxf>
  </rfmt>
  <rcc rId="10609" sId="35" odxf="1" dxf="1">
    <nc r="A50" t="inlineStr">
      <is>
        <t>Комплектующие</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610" sId="35" odxf="1" dxf="1">
    <nc r="B50" t="inlineStr">
      <is>
        <t>л/ кг/ 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50" start="0" length="0">
    <dxf>
      <font>
        <b/>
        <sz val="11"/>
        <color auto="1"/>
        <name val="Arial Narrow"/>
        <scheme val="none"/>
      </font>
      <numFmt numFmtId="2" formatCode="0.00"/>
      <fill>
        <patternFill patternType="solid">
          <bgColor theme="0"/>
        </patternFill>
      </fill>
      <alignment horizontal="center" vertical="center" readingOrder="0"/>
    </dxf>
  </rfmt>
  <rfmt sheetId="35" sqref="D5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5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50"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611" sId="35" odxf="1" dxf="1">
    <nc r="A51" t="inlineStr">
      <is>
        <t>Мастика для гибкой черепицы, 0,29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12" sId="35" odxf="1" dxf="1">
    <nc r="B51">
      <v>0.28999999999999998</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1" start="0" length="0">
    <dxf>
      <font>
        <sz val="6"/>
        <color rgb="FFFF0000"/>
        <name val="Arial Narrow"/>
        <scheme val="none"/>
      </font>
      <numFmt numFmtId="2" formatCode="0.00"/>
      <fill>
        <patternFill patternType="solid">
          <bgColor theme="0"/>
        </patternFill>
      </fill>
      <alignment horizontal="center" vertical="center" readingOrder="0"/>
    </dxf>
  </rfmt>
  <rcc rId="10613" sId="35" odxf="1" dxf="1">
    <nc r="D51" t="inlineStr">
      <is>
        <t>110,41р.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14" sId="35" odxf="1" dxf="1">
    <nc r="E51" t="inlineStr">
      <is>
        <t>129,05р.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15" sId="35" odxf="1" dxf="1">
    <nc r="F51" t="inlineStr">
      <is>
        <t>143,39р.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16" sId="35" odxf="1" dxf="1">
    <nc r="A52" t="inlineStr">
      <is>
        <t>Мастика для гибкой черепицы, 5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17" sId="35" odxf="1" dxf="1">
    <nc r="B52">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2" start="0" length="0">
    <dxf>
      <font>
        <sz val="6"/>
        <color rgb="FFFF0000"/>
        <name val="Arial Narrow"/>
        <scheme val="none"/>
      </font>
      <numFmt numFmtId="2" formatCode="0.00"/>
      <fill>
        <patternFill patternType="solid">
          <bgColor theme="0"/>
        </patternFill>
      </fill>
      <alignment horizontal="center" vertical="center" readingOrder="0"/>
    </dxf>
  </rfmt>
  <rcc rId="10618" sId="35" odxf="1" dxf="1">
    <nc r="D52" t="inlineStr">
      <is>
        <t>676,90р.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19" sId="35" odxf="1" dxf="1">
    <nc r="E52" t="inlineStr">
      <is>
        <t>791,18р.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0" sId="35" odxf="1" dxf="1">
    <nc r="F52" t="inlineStr">
      <is>
        <t>879,09р.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21" sId="35" odxf="1" dxf="1">
    <nc r="A53" t="inlineStr">
      <is>
        <t>Мастика для гибкой черепицы, 10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22" sId="35" odxf="1" dxf="1">
    <nc r="B53">
      <v>10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3" start="0" length="0">
    <dxf>
      <font>
        <sz val="6"/>
        <color rgb="FFFF0000"/>
        <name val="Arial Narrow"/>
        <scheme val="none"/>
      </font>
      <numFmt numFmtId="2" formatCode="0.00"/>
      <fill>
        <patternFill patternType="solid">
          <bgColor theme="0"/>
        </patternFill>
      </fill>
      <alignment horizontal="center" vertical="center" readingOrder="0"/>
    </dxf>
  </rfmt>
  <rcc rId="10623" sId="35" odxf="1" dxf="1">
    <nc r="D53" t="inlineStr">
      <is>
        <t>1 314,25р.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4" sId="35" odxf="1" dxf="1">
    <nc r="E53" t="inlineStr">
      <is>
        <t>1 536,14р.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5" sId="35" odxf="1" dxf="1">
    <nc r="F53" t="inlineStr">
      <is>
        <t>1 706,82р.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26" sId="35" odxf="1" dxf="1">
    <nc r="A54" t="inlineStr">
      <is>
        <t>Гвозди кровельные оцинкованные ершённые, 5 кг</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27" sId="35" odxf="1" dxf="1">
    <nc r="B54">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4" start="0" length="0">
    <dxf>
      <font>
        <sz val="6"/>
        <color rgb="FFFF0000"/>
        <name val="Arial Narrow"/>
        <scheme val="none"/>
      </font>
      <numFmt numFmtId="2" formatCode="0.00"/>
      <fill>
        <patternFill patternType="solid">
          <bgColor theme="0"/>
        </patternFill>
      </fill>
      <alignment horizontal="center" vertical="center" readingOrder="0"/>
    </dxf>
  </rfmt>
  <rcc rId="10628" sId="35" odxf="1" dxf="1">
    <nc r="D54" t="inlineStr">
      <is>
        <t>710,85р.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9" sId="35" odxf="1" dxf="1">
    <nc r="E54" t="inlineStr">
      <is>
        <t>830,86р.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30" sId="35" odxf="1" dxf="1">
    <nc r="F54" t="inlineStr">
      <is>
        <t>923,18р.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31" sId="35" odxf="1" dxf="1">
    <nc r="A55" t="inlineStr">
      <is>
        <t>Снегозадержатели Döcke, цвет ШОКОЛАД, шт.</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32" sId="35" odxf="1" dxf="1">
    <nc r="B55">
      <v>90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5" start="0" length="0">
    <dxf>
      <font>
        <sz val="6"/>
        <color rgb="FFFF0000"/>
        <name val="Arial Narrow"/>
        <scheme val="none"/>
      </font>
      <numFmt numFmtId="2" formatCode="0.00"/>
      <fill>
        <patternFill patternType="solid">
          <bgColor theme="0"/>
        </patternFill>
      </fill>
      <alignment horizontal="center" vertical="center" readingOrder="0"/>
    </dxf>
  </rfmt>
  <rcc rId="10633" sId="35" odxf="1" dxf="1">
    <nc r="D55" t="inlineStr">
      <is>
        <t>2 924,25р.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34" sId="35" odxf="1" dxf="1">
    <nc r="E55" t="inlineStr">
      <is>
        <t>3 417,95р.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35" sId="35" odxf="1" dxf="1">
    <nc r="F55" t="inlineStr">
      <is>
        <t>3 797,73р.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36" sId="35" odxf="1" dxf="1">
    <nc r="A56" t="inlineStr">
      <is>
        <t>Планка карнизная RAL 8017(коричневый), 3009(красный), 6005(зеленый), 7024(серый)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37" sId="35" odxf="1" dxf="1">
    <nc r="B56">
      <v>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6" start="0" length="0">
    <dxf>
      <font>
        <sz val="6"/>
        <color rgb="FFFF0000"/>
        <name val="Arial Narrow"/>
        <scheme val="none"/>
      </font>
      <numFmt numFmtId="2" formatCode="0.00"/>
      <fill>
        <patternFill patternType="solid">
          <bgColor theme="0"/>
        </patternFill>
      </fill>
      <alignment horizontal="center" vertical="center" readingOrder="0"/>
    </dxf>
  </rfmt>
  <rfmt sheetId="35" sqref="D56"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E56"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F56"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cc rId="10638" sId="35" odxf="1" dxf="1">
    <nc r="A57" t="inlineStr">
      <is>
        <t>Планка торцевая RAL 8017(коричневый), 3009(красный), 6005(зеленый), 7024(серый)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39" sId="35" odxf="1" dxf="1">
    <nc r="B57">
      <v>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7" start="0" length="0">
    <dxf>
      <font>
        <sz val="6"/>
        <color rgb="FFFF0000"/>
        <name val="Arial Narrow"/>
        <scheme val="none"/>
      </font>
      <numFmt numFmtId="2" formatCode="0.00"/>
      <fill>
        <patternFill patternType="solid">
          <bgColor theme="0"/>
        </patternFill>
      </fill>
      <alignment horizontal="center" vertical="center" readingOrder="0"/>
    </dxf>
  </rfmt>
  <rfmt sheetId="35" sqref="D57"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E57"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F57"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cc rId="10640" sId="35" odxf="1" dxf="1">
    <nc r="A58" t="inlineStr">
      <is>
        <t>Планка примыкания RAL 8017(коричневый), 3009(красный), 6005(зеленый), 7024(серый)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41" sId="35" odxf="1" dxf="1">
    <nc r="B58">
      <v>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8" start="0" length="0">
    <dxf>
      <font>
        <sz val="6"/>
        <color rgb="FFFF0000"/>
        <name val="Arial Narrow"/>
        <scheme val="none"/>
      </font>
      <numFmt numFmtId="2" formatCode="0.00"/>
      <fill>
        <patternFill patternType="solid">
          <bgColor theme="0"/>
        </patternFill>
      </fill>
      <alignment horizontal="center" vertical="center" readingOrder="0"/>
    </dxf>
  </rfmt>
  <rfmt sheetId="35" sqref="D58"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E58"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F58"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cc rId="10642" sId="35" odxf="1" dxf="1">
    <nc r="A59" t="inlineStr">
      <is>
        <r>
          <t xml:space="preserve">Прайс-лист для ЦФО (Белгородская, Воронежская, Курская, Липецкая, Орловская, Тамбовская области) - </t>
        </r>
        <r>
          <rPr>
            <b/>
            <sz val="11"/>
            <color rgb="FFFF0000"/>
            <rFont val="Arial Narrow"/>
            <family val="2"/>
            <charset val="204"/>
          </rPr>
          <t xml:space="preserve">2019 </t>
        </r>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left" vertical="center" readingOrder="0"/>
    </ndxf>
  </rcc>
  <rfmt sheetId="35" sqref="B59" start="0" length="0">
    <dxf>
      <font>
        <b/>
        <sz val="11"/>
        <color theme="1"/>
        <name val="Arial Narrow"/>
        <scheme val="none"/>
      </font>
      <fill>
        <patternFill patternType="solid">
          <bgColor theme="0"/>
        </patternFill>
      </fill>
      <alignment vertical="center" readingOrder="0"/>
    </dxf>
  </rfmt>
  <rfmt sheetId="35" sqref="C59" start="0" length="0">
    <dxf>
      <font>
        <b/>
        <sz val="11"/>
        <color auto="1"/>
        <name val="Arial Narrow"/>
        <scheme val="none"/>
      </font>
      <fill>
        <patternFill patternType="solid">
          <bgColor theme="0"/>
        </patternFill>
      </fill>
      <alignment vertical="center" readingOrder="0"/>
    </dxf>
  </rfmt>
  <rfmt sheetId="35" sqref="D59" start="0" length="0">
    <dxf>
      <font>
        <b/>
        <sz val="11"/>
        <color auto="1"/>
        <name val="Arial Narrow"/>
        <scheme val="none"/>
      </font>
      <fill>
        <patternFill patternType="solid">
          <bgColor theme="0"/>
        </patternFill>
      </fill>
      <alignment vertical="center" readingOrder="0"/>
    </dxf>
  </rfmt>
  <rfmt sheetId="35" sqref="E59" start="0" length="0">
    <dxf>
      <font>
        <b/>
        <sz val="11"/>
        <color auto="1"/>
        <name val="Arial Narrow"/>
        <scheme val="none"/>
      </font>
      <fill>
        <patternFill patternType="solid">
          <bgColor theme="0"/>
        </patternFill>
      </fill>
      <alignment vertical="center" readingOrder="0"/>
    </dxf>
  </rfmt>
  <rcc rId="10643" sId="35" odxf="1" dxf="1">
    <nc r="F59"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fmt sheetId="35" sqref="A1" start="0" length="0">
    <dxf>
      <font>
        <sz val="22"/>
        <color theme="1"/>
        <name val="Calibri"/>
        <scheme val="minor"/>
      </font>
      <fill>
        <patternFill patternType="solid">
          <bgColor rgb="FF00B0F0"/>
        </patternFill>
      </fill>
    </dxf>
  </rfmt>
  <rfmt sheetId="35" sqref="B1" start="0" length="0">
    <dxf>
      <fill>
        <patternFill patternType="solid">
          <bgColor rgb="FF00B0F0"/>
        </patternFill>
      </fill>
    </dxf>
  </rfmt>
  <rfmt sheetId="35" sqref="C1" start="0" length="0">
    <dxf>
      <fill>
        <patternFill patternType="solid">
          <bgColor rgb="FF00B0F0"/>
        </patternFill>
      </fill>
    </dxf>
  </rfmt>
  <rfmt sheetId="35" sqref="D1" start="0" length="0">
    <dxf>
      <fill>
        <patternFill patternType="solid">
          <bgColor rgb="FF00B0F0"/>
        </patternFill>
      </fill>
    </dxf>
  </rfmt>
  <rfmt sheetId="35" sqref="E1" start="0" length="0">
    <dxf>
      <fill>
        <patternFill patternType="solid">
          <bgColor rgb="FF00B0F0"/>
        </patternFill>
      </fill>
    </dxf>
  </rfmt>
  <rfmt sheetId="35" sqref="F1" start="0" length="0">
    <dxf>
      <fill>
        <patternFill patternType="solid">
          <bgColor rgb="FF00B0F0"/>
        </patternFill>
      </fill>
    </dxf>
  </rfmt>
  <rfmt sheetId="35" sqref="G1" start="0" length="0">
    <dxf>
      <fill>
        <patternFill patternType="solid">
          <bgColor rgb="FF00B0F0"/>
        </patternFill>
      </fill>
    </dxf>
  </rfmt>
  <rfmt sheetId="35" sqref="H1" start="0" length="0">
    <dxf>
      <fill>
        <patternFill patternType="solid">
          <bgColor rgb="FF00B0F0"/>
        </patternFill>
      </fill>
    </dxf>
  </rfmt>
  <rfmt sheetId="35" sqref="A1" start="0" length="0">
    <dxf>
      <border>
        <left style="medium">
          <color indexed="64"/>
        </left>
      </border>
    </dxf>
  </rfmt>
  <rfmt sheetId="35" sqref="A1:F1" start="0" length="0">
    <dxf>
      <border>
        <top style="medium">
          <color indexed="64"/>
        </top>
      </border>
    </dxf>
  </rfmt>
  <rfmt sheetId="35" sqref="F1" start="0" length="0">
    <dxf>
      <border>
        <right style="medium">
          <color indexed="64"/>
        </right>
      </border>
    </dxf>
  </rfmt>
  <rfmt sheetId="35" sqref="A1:F1" start="0" length="0">
    <dxf>
      <border>
        <bottom style="medium">
          <color indexed="64"/>
        </bottom>
      </border>
    </dxf>
  </rfmt>
  <rm rId="10644" sheetId="35" source="E59:F59" destination="E3:F3" sourceSheetId="35">
    <rfmt sheetId="35" sqref="E3" start="0" length="0">
      <dxf>
        <font>
          <b/>
          <sz val="11"/>
          <color auto="1"/>
          <name val="Arial Narrow"/>
          <scheme val="none"/>
        </font>
        <fill>
          <patternFill patternType="solid">
            <bgColor theme="0"/>
          </patternFill>
        </fill>
        <alignment horizontal="right" vertical="center" readingOrder="0"/>
      </dxf>
    </rfmt>
    <rfmt sheetId="35" sqref="F3" start="0" length="0">
      <dxf>
        <font>
          <b/>
          <sz val="11"/>
          <color auto="1"/>
          <name val="Arial Narrow"/>
          <scheme val="none"/>
        </font>
        <fill>
          <patternFill patternType="solid">
            <bgColor theme="0"/>
          </patternFill>
        </fill>
        <alignment horizontal="right" vertical="center" readingOrder="0"/>
      </dxf>
    </rfmt>
  </rm>
  <rrc rId="10645" sId="35" ref="A14:XFD14" action="deleteRow">
    <rfmt sheetId="35" xfDxf="1" sqref="A14:XFD14" start="0" length="0"/>
    <rfmt sheetId="35" sqref="A14" start="0" length="0">
      <dxf>
        <font>
          <sz val="11"/>
          <color auto="1"/>
          <name val="Arial Narrow"/>
          <scheme val="none"/>
        </font>
        <fill>
          <patternFill patternType="solid">
            <bgColor theme="0"/>
          </patternFill>
        </fill>
        <alignment vertical="center" readingOrder="0"/>
      </dxf>
    </rfmt>
    <rfmt sheetId="35" sqref="B14" start="0" length="0">
      <dxf>
        <font>
          <sz val="11"/>
          <color auto="1"/>
          <name val="Arial Narrow"/>
          <scheme val="none"/>
        </font>
        <fill>
          <patternFill patternType="solid">
            <bgColor theme="0"/>
          </patternFill>
        </fill>
        <alignment vertical="center" readingOrder="0"/>
      </dxf>
    </rfmt>
    <rfmt sheetId="35" sqref="C14" start="0" length="0">
      <dxf>
        <font>
          <sz val="11"/>
          <color auto="1"/>
          <name val="Arial Narrow"/>
          <scheme val="none"/>
        </font>
        <fill>
          <patternFill patternType="solid">
            <bgColor theme="0"/>
          </patternFill>
        </fill>
        <alignment vertical="center" readingOrder="0"/>
      </dxf>
    </rfmt>
    <rfmt sheetId="35" sqref="D14" start="0" length="0">
      <dxf>
        <font>
          <sz val="11"/>
          <color auto="1"/>
          <name val="Arial Narrow"/>
          <scheme val="none"/>
        </font>
        <fill>
          <patternFill patternType="solid">
            <bgColor theme="0"/>
          </patternFill>
        </fill>
        <alignment vertical="center" readingOrder="0"/>
      </dxf>
    </rfmt>
    <rfmt sheetId="35" sqref="E14" start="0" length="0">
      <dxf>
        <font>
          <sz val="11"/>
          <color auto="1"/>
          <name val="Arial Narrow"/>
          <scheme val="none"/>
        </font>
        <fill>
          <patternFill patternType="solid">
            <bgColor theme="0"/>
          </patternFill>
        </fill>
        <alignment vertical="center" readingOrder="0"/>
      </dxf>
    </rfmt>
    <rfmt sheetId="35" sqref="F14" start="0" length="0">
      <dxf>
        <font>
          <sz val="11"/>
          <color auto="1"/>
          <name val="Arial Narrow"/>
          <scheme val="none"/>
        </font>
        <fill>
          <patternFill patternType="solid">
            <bgColor theme="0"/>
          </patternFill>
        </fill>
        <alignment vertical="center" readingOrder="0"/>
      </dxf>
    </rfmt>
  </rrc>
  <rrc rId="10646" sId="35" ref="A21:XFD21" action="deleteRow">
    <rfmt sheetId="35" xfDxf="1" sqref="A21:XFD21" start="0" length="0"/>
    <rfmt sheetId="35" sqref="A21" start="0" length="0">
      <dxf>
        <font>
          <sz val="11"/>
          <color auto="1"/>
          <name val="Arial Narrow"/>
          <scheme val="none"/>
        </font>
        <fill>
          <patternFill patternType="solid">
            <bgColor theme="0"/>
          </patternFill>
        </fill>
        <alignment vertical="center" readingOrder="0"/>
      </dxf>
    </rfmt>
    <rfmt sheetId="35" sqref="B21" start="0" length="0">
      <dxf>
        <font>
          <sz val="11"/>
          <color auto="1"/>
          <name val="Arial Narrow"/>
          <scheme val="none"/>
        </font>
        <fill>
          <patternFill patternType="solid">
            <bgColor theme="0"/>
          </patternFill>
        </fill>
        <alignment vertical="center" readingOrder="0"/>
      </dxf>
    </rfmt>
    <rfmt sheetId="35" sqref="C21" start="0" length="0">
      <dxf>
        <font>
          <sz val="11"/>
          <color auto="1"/>
          <name val="Arial Narrow"/>
          <scheme val="none"/>
        </font>
        <fill>
          <patternFill patternType="solid">
            <bgColor theme="0"/>
          </patternFill>
        </fill>
        <alignment vertical="center" readingOrder="0"/>
      </dxf>
    </rfmt>
    <rfmt sheetId="35" sqref="D21" start="0" length="0">
      <dxf>
        <font>
          <sz val="11"/>
          <color auto="1"/>
          <name val="Arial Narrow"/>
          <scheme val="none"/>
        </font>
        <fill>
          <patternFill patternType="solid">
            <bgColor theme="0"/>
          </patternFill>
        </fill>
        <alignment vertical="center" readingOrder="0"/>
      </dxf>
    </rfmt>
    <rfmt sheetId="35" sqref="E21" start="0" length="0">
      <dxf>
        <font>
          <sz val="11"/>
          <color auto="1"/>
          <name val="Arial Narrow"/>
          <scheme val="none"/>
        </font>
        <fill>
          <patternFill patternType="solid">
            <bgColor theme="0"/>
          </patternFill>
        </fill>
        <alignment vertical="center" readingOrder="0"/>
      </dxf>
    </rfmt>
    <rfmt sheetId="35" sqref="F21" start="0" length="0">
      <dxf>
        <font>
          <sz val="11"/>
          <color auto="1"/>
          <name val="Arial Narrow"/>
          <scheme val="none"/>
        </font>
        <fill>
          <patternFill patternType="solid">
            <bgColor theme="0"/>
          </patternFill>
        </fill>
        <alignment vertical="center" readingOrder="0"/>
      </dxf>
    </rfmt>
  </rrc>
  <rrc rId="10647" sId="35" ref="A33:XFD33" action="deleteRow">
    <rfmt sheetId="35" xfDxf="1" sqref="A33:XFD33" start="0" length="0"/>
    <rfmt sheetId="35" sqref="A33" start="0" length="0">
      <dxf>
        <font>
          <sz val="11"/>
          <color auto="1"/>
          <name val="Arial Narrow"/>
          <scheme val="none"/>
        </font>
        <fill>
          <patternFill patternType="solid">
            <bgColor theme="0"/>
          </patternFill>
        </fill>
        <alignment vertical="center" readingOrder="0"/>
      </dxf>
    </rfmt>
    <rfmt sheetId="35" sqref="B33" start="0" length="0">
      <dxf>
        <font>
          <sz val="11"/>
          <color auto="1"/>
          <name val="Arial Narrow"/>
          <scheme val="none"/>
        </font>
        <fill>
          <patternFill patternType="solid">
            <bgColor theme="0"/>
          </patternFill>
        </fill>
        <alignment vertical="center" readingOrder="0"/>
      </dxf>
    </rfmt>
    <rfmt sheetId="35" sqref="C33" start="0" length="0">
      <dxf>
        <font>
          <sz val="11"/>
          <color auto="1"/>
          <name val="Arial Narrow"/>
          <scheme val="none"/>
        </font>
        <fill>
          <patternFill patternType="solid">
            <bgColor theme="0"/>
          </patternFill>
        </fill>
        <alignment vertical="center" readingOrder="0"/>
      </dxf>
    </rfmt>
    <rfmt sheetId="35" sqref="D33" start="0" length="0">
      <dxf>
        <font>
          <sz val="11"/>
          <color auto="1"/>
          <name val="Arial Narrow"/>
          <scheme val="none"/>
        </font>
        <fill>
          <patternFill patternType="solid">
            <bgColor theme="0"/>
          </patternFill>
        </fill>
        <alignment vertical="center" readingOrder="0"/>
      </dxf>
    </rfmt>
    <rfmt sheetId="35" sqref="E33" start="0" length="0">
      <dxf>
        <font>
          <sz val="11"/>
          <color auto="1"/>
          <name val="Arial Narrow"/>
          <scheme val="none"/>
        </font>
        <fill>
          <patternFill patternType="solid">
            <bgColor theme="0"/>
          </patternFill>
        </fill>
        <alignment vertical="center" readingOrder="0"/>
      </dxf>
    </rfmt>
    <rfmt sheetId="35" sqref="F33" start="0" length="0">
      <dxf>
        <font>
          <sz val="11"/>
          <color auto="1"/>
          <name val="Arial Narrow"/>
          <scheme val="none"/>
        </font>
        <fill>
          <patternFill patternType="solid">
            <bgColor theme="0"/>
          </patternFill>
        </fill>
        <alignment vertical="center" readingOrder="0"/>
      </dxf>
    </rfmt>
  </rrc>
  <rrc rId="10648" sId="35" ref="A36:XFD36" action="deleteRow">
    <rfmt sheetId="35" xfDxf="1" sqref="A36:XFD36" start="0" length="0"/>
    <rfmt sheetId="35" sqref="A36" start="0" length="0">
      <dxf>
        <font>
          <sz val="11"/>
          <color auto="1"/>
          <name val="Arial Narrow"/>
          <scheme val="none"/>
        </font>
        <fill>
          <patternFill patternType="solid">
            <bgColor theme="0"/>
          </patternFill>
        </fill>
        <alignment vertical="center" readingOrder="0"/>
      </dxf>
    </rfmt>
    <rfmt sheetId="35" sqref="B36" start="0" length="0">
      <dxf>
        <font>
          <sz val="11"/>
          <color auto="1"/>
          <name val="Arial Narrow"/>
          <scheme val="none"/>
        </font>
        <fill>
          <patternFill patternType="solid">
            <bgColor theme="0"/>
          </patternFill>
        </fill>
        <alignment vertical="center" readingOrder="0"/>
      </dxf>
    </rfmt>
    <rfmt sheetId="35" sqref="C36" start="0" length="0">
      <dxf>
        <font>
          <sz val="11"/>
          <color auto="1"/>
          <name val="Arial Narrow"/>
          <scheme val="none"/>
        </font>
        <fill>
          <patternFill patternType="solid">
            <bgColor theme="0"/>
          </patternFill>
        </fill>
        <alignment vertical="center" readingOrder="0"/>
      </dxf>
    </rfmt>
    <rfmt sheetId="35" sqref="D36" start="0" length="0">
      <dxf>
        <font>
          <sz val="11"/>
          <color auto="1"/>
          <name val="Arial Narrow"/>
          <scheme val="none"/>
        </font>
        <fill>
          <patternFill patternType="solid">
            <bgColor theme="0"/>
          </patternFill>
        </fill>
        <alignment vertical="center" readingOrder="0"/>
      </dxf>
    </rfmt>
    <rfmt sheetId="35" sqref="E36" start="0" length="0">
      <dxf>
        <font>
          <sz val="11"/>
          <color auto="1"/>
          <name val="Arial Narrow"/>
          <scheme val="none"/>
        </font>
        <fill>
          <patternFill patternType="solid">
            <bgColor theme="0"/>
          </patternFill>
        </fill>
        <alignment vertical="center" readingOrder="0"/>
      </dxf>
    </rfmt>
    <rfmt sheetId="35" sqref="F36" start="0" length="0">
      <dxf>
        <font>
          <sz val="11"/>
          <color auto="1"/>
          <name val="Arial Narrow"/>
          <scheme val="none"/>
        </font>
        <fill>
          <patternFill patternType="solid">
            <bgColor theme="0"/>
          </patternFill>
        </fill>
        <alignment vertical="center" readingOrder="0"/>
      </dxf>
    </rfmt>
  </rrc>
  <rrc rId="10649" sId="35" ref="A45:XFD45" action="deleteRow">
    <rfmt sheetId="35" xfDxf="1" sqref="A45:XFD45" start="0" length="0"/>
    <rfmt sheetId="35" sqref="A45" start="0" length="0">
      <dxf>
        <font>
          <sz val="11"/>
          <color auto="1"/>
          <name val="Arial Narrow"/>
          <scheme val="none"/>
        </font>
        <fill>
          <patternFill patternType="solid">
            <bgColor theme="0"/>
          </patternFill>
        </fill>
        <alignment vertical="center" readingOrder="0"/>
      </dxf>
    </rfmt>
    <rfmt sheetId="35" sqref="B45" start="0" length="0">
      <dxf>
        <font>
          <sz val="11"/>
          <color auto="1"/>
          <name val="Arial Narrow"/>
          <scheme val="none"/>
        </font>
        <fill>
          <patternFill patternType="solid">
            <bgColor theme="0"/>
          </patternFill>
        </fill>
        <alignment vertical="center" readingOrder="0"/>
      </dxf>
    </rfmt>
    <rfmt sheetId="35" sqref="C45" start="0" length="0">
      <dxf>
        <font>
          <sz val="11"/>
          <color auto="1"/>
          <name val="Arial Narrow"/>
          <scheme val="none"/>
        </font>
        <fill>
          <patternFill patternType="solid">
            <bgColor theme="0"/>
          </patternFill>
        </fill>
        <alignment vertical="center" readingOrder="0"/>
      </dxf>
    </rfmt>
    <rfmt sheetId="35" sqref="D45" start="0" length="0">
      <dxf>
        <font>
          <sz val="11"/>
          <color auto="1"/>
          <name val="Arial Narrow"/>
          <scheme val="none"/>
        </font>
        <fill>
          <patternFill patternType="solid">
            <bgColor theme="0"/>
          </patternFill>
        </fill>
        <alignment vertical="center" readingOrder="0"/>
      </dxf>
    </rfmt>
    <rfmt sheetId="35" sqref="E45" start="0" length="0">
      <dxf>
        <font>
          <sz val="11"/>
          <color auto="1"/>
          <name val="Arial Narrow"/>
          <scheme val="none"/>
        </font>
        <fill>
          <patternFill patternType="solid">
            <bgColor theme="0"/>
          </patternFill>
        </fill>
        <alignment vertical="center" readingOrder="0"/>
      </dxf>
    </rfmt>
    <rfmt sheetId="35" sqref="F45" start="0" length="0">
      <dxf>
        <font>
          <sz val="11"/>
          <color auto="1"/>
          <name val="Arial Narrow"/>
          <scheme val="none"/>
        </font>
        <fill>
          <patternFill patternType="solid">
            <bgColor theme="0"/>
          </patternFill>
        </fill>
        <alignment vertical="center" readingOrder="0"/>
      </dxf>
    </rfmt>
  </rrc>
  <rcc rId="10650" sId="35">
    <nc r="A1" t="inlineStr">
      <is>
        <t>ООО "ЦЕНТР-ТИМ"   Платонов Иван 89536104242  centrtim57@mail.ru  11/04/19</t>
      </is>
    </nc>
  </rcc>
  <rfmt sheetId="35" sqref="A1:I1" start="0" length="2147483647">
    <dxf>
      <font>
        <sz val="20"/>
      </font>
    </dxf>
  </rfmt>
  <rrc rId="10651" sId="35" ref="A2:XFD2" action="deleteRow">
    <rfmt sheetId="35"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Лист1!$4:$4</formula>
  </rdn>
  <rdn rId="0" localSheetId="35" customView="1" name="Z_FBB3E572_A647_4B8C_96C7_F43FE4F7CAA8_.wvu.Cols" hidden="1" oldHidden="1">
    <formula>Лист1!$G:$H</formula>
  </rdn>
  <rcv guid="{FBB3E572-A647-4B8C-96C7-F43FE4F7CAA8}" action="add"/>
</revisions>
</file>

<file path=xl/revisions/revisionLog1171111.xml><?xml version="1.0" encoding="utf-8"?>
<revisions xmlns="http://schemas.openxmlformats.org/spreadsheetml/2006/main" xmlns:r="http://schemas.openxmlformats.org/officeDocument/2006/relationships">
  <rcc rId="10264" sId="5">
    <oc r="B2" t="inlineStr">
      <is>
        <r>
          <rPr>
            <b/>
            <sz val="10"/>
            <color theme="1"/>
            <rFont val="Palatino Linotype"/>
            <family val="1"/>
            <charset val="204"/>
          </rPr>
          <t>ООО "ЦЕНТР-ТИМ"</t>
        </r>
        <r>
          <rPr>
            <sz val="10"/>
            <color theme="1"/>
            <rFont val="Palatino Linotype"/>
            <family val="1"/>
            <charset val="204"/>
          </rPr>
          <t xml:space="preserve">   Платонов Иван 89536104242 </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is>
    </oc>
    <nc r="B2"/>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72.xml><?xml version="1.0" encoding="utf-8"?>
<revisions xmlns="http://schemas.openxmlformats.org/spreadsheetml/2006/main" xmlns:r="http://schemas.openxmlformats.org/officeDocument/2006/relationships">
  <rcc rId="13987" sId="47" numFmtId="4">
    <nc r="D12">
      <v>4030</v>
    </nc>
  </rcc>
  <rcc rId="13988" sId="47" numFmtId="4">
    <nc r="E12">
      <v>3765</v>
    </nc>
  </rcc>
  <rcc rId="13989" sId="47" numFmtId="4">
    <nc r="D13">
      <v>4200</v>
    </nc>
  </rcc>
  <rcc rId="13990" sId="47" numFmtId="4">
    <nc r="E13">
      <v>3920</v>
    </nc>
  </rcc>
  <rcc rId="13991" sId="47" numFmtId="4">
    <nc r="D14">
      <v>4200</v>
    </nc>
  </rcc>
  <rcc rId="13992" sId="47" numFmtId="4">
    <nc r="E14">
      <v>3920</v>
    </nc>
  </rcc>
  <rcc rId="13993" sId="47" numFmtId="4">
    <nc r="D15">
      <v>4700</v>
    </nc>
  </rcc>
  <rcc rId="13994" sId="47" numFmtId="4">
    <nc r="E15">
      <v>4390</v>
    </nc>
  </rcc>
  <rcc rId="13995" sId="47" numFmtId="4">
    <nc r="D16">
      <v>5035</v>
    </nc>
  </rcc>
  <rcc rId="13996" sId="47" numFmtId="4">
    <nc r="E16">
      <v>4700</v>
    </nc>
  </rcc>
  <rcc rId="13997" sId="47" numFmtId="4">
    <nc r="D17">
      <v>5540</v>
    </nc>
  </rcc>
  <rcc rId="13998" sId="47" numFmtId="4">
    <nc r="E17">
      <v>5170</v>
    </nc>
  </rcc>
  <rcc rId="13999" sId="47" numFmtId="4">
    <nc r="D18">
      <v>5205</v>
    </nc>
  </rcc>
  <rcc rId="14000" sId="47" numFmtId="4">
    <nc r="E18">
      <v>4860</v>
    </nc>
  </rcc>
  <rcc rId="14001" sId="47" numFmtId="4">
    <nc r="D19">
      <v>5875</v>
    </nc>
  </rcc>
  <rcc rId="14002" sId="47" numFmtId="4">
    <nc r="E19">
      <v>5485</v>
    </nc>
  </rcc>
  <rcc rId="14003" sId="47" numFmtId="4">
    <nc r="D20">
      <v>6210</v>
    </nc>
  </rcc>
  <rcc rId="14004" sId="47" numFmtId="4">
    <nc r="E20">
      <v>5795</v>
    </nc>
  </rcc>
  <rcc rId="14005" sId="47" numFmtId="4">
    <nc r="D21">
      <v>6880</v>
    </nc>
  </rcc>
  <rcc rId="14006" sId="47">
    <nc r="E21" t="inlineStr">
      <is>
        <t>6420,,00</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8.xml><?xml version="1.0" encoding="utf-8"?>
<revisions xmlns="http://schemas.openxmlformats.org/spreadsheetml/2006/main" xmlns:r="http://schemas.openxmlformats.org/officeDocument/2006/relationships">
  <ris rId="13875" sheetId="47" name="[ПРАЙС ЦЕНТР-ТИМ 2019 обновленный.xlsx]Лист1" sheetPosition="1"/>
  <rfmt sheetId="47" sqref="A3" start="0" length="0">
    <dxf>
      <font>
        <sz val="20"/>
        <color rgb="FF000000"/>
        <name val="Times New Roman"/>
        <scheme val="none"/>
      </font>
      <alignment horizontal="right" vertical="top" readingOrder="0"/>
    </dxf>
  </rfmt>
  <rfmt sheetId="47" sqref="B3" start="0" length="0">
    <dxf>
      <font>
        <sz val="20"/>
        <color rgb="FF000000"/>
        <name val="Times New Roman"/>
        <scheme val="none"/>
      </font>
      <alignment horizontal="right" vertical="top" readingOrder="0"/>
    </dxf>
  </rfmt>
  <rfmt sheetId="47" sqref="C3" start="0" length="0">
    <dxf>
      <font>
        <sz val="20"/>
        <color rgb="FF000000"/>
        <name val="Times New Roman"/>
        <scheme val="none"/>
      </font>
      <alignment horizontal="right" vertical="top" readingOrder="0"/>
    </dxf>
  </rfmt>
  <rfmt sheetId="47" sqref="D3" start="0" length="0">
    <dxf>
      <font>
        <sz val="20"/>
        <color rgb="FF000000"/>
        <name val="Times New Roman"/>
        <scheme val="none"/>
      </font>
      <alignment horizontal="right" vertical="top" readingOrder="0"/>
    </dxf>
  </rfmt>
  <rfmt sheetId="47" sqref="A4" start="0" length="0">
    <dxf>
      <alignment horizontal="left" vertical="top" readingOrder="0"/>
    </dxf>
  </rfmt>
  <rfmt sheetId="47" sqref="B4" start="0" length="0">
    <dxf>
      <alignment horizontal="center" vertical="top" readingOrder="0"/>
    </dxf>
  </rfmt>
  <rfmt sheetId="47" sqref="C4" start="0" length="0">
    <dxf>
      <alignment horizontal="left" vertical="top" readingOrder="0"/>
    </dxf>
  </rfmt>
  <rfmt sheetId="47" sqref="D4" start="0" length="0">
    <dxf>
      <font>
        <sz val="11"/>
        <color rgb="FF000000"/>
        <name val="Arial"/>
        <scheme val="none"/>
      </font>
      <alignment horizontal="center" vertical="top" readingOrder="0"/>
    </dxf>
  </rfmt>
  <rcc rId="13876" sId="47" odxf="1" dxf="1">
    <nc r="A5" t="inlineStr">
      <is>
        <t>ПРАЙС-ЛИСТ                       Базальтовый утеплитель</t>
      </is>
    </nc>
    <odxf>
      <font>
        <b val="0"/>
        <sz val="11"/>
        <color theme="1"/>
        <name val="Calibri"/>
        <scheme val="minor"/>
      </font>
      <alignment horizontal="general" vertical="bottom" wrapText="0" readingOrder="0"/>
      <border outline="0">
        <left/>
        <right/>
        <top/>
        <bottom/>
      </border>
    </odxf>
    <ndxf>
      <font>
        <b/>
        <sz val="11"/>
        <color auto="1"/>
        <name val="Trebuchet MS"/>
        <scheme val="none"/>
      </font>
      <alignment horizontal="center" vertical="top" wrapText="1" readingOrder="0"/>
      <border outline="0">
        <left style="thin">
          <color rgb="FF000000"/>
        </left>
        <right style="thin">
          <color rgb="FF000000"/>
        </right>
        <top style="thin">
          <color rgb="FF000000"/>
        </top>
        <bottom style="thin">
          <color rgb="FF000000"/>
        </bottom>
      </border>
    </ndxf>
  </rcc>
  <rcc rId="13877" sId="47" odxf="1" dxf="1">
    <nc r="B5" t="inlineStr">
      <is>
        <r>
          <rPr>
            <b/>
            <sz val="12"/>
            <rFont val="Georgia"/>
            <family val="1"/>
          </rPr>
          <t xml:space="preserve">Плотность,
</t>
        </r>
        <r>
          <rPr>
            <b/>
            <sz val="12"/>
            <rFont val="Georgia"/>
            <family val="1"/>
          </rPr>
          <t>кг/м3</t>
        </r>
      </is>
    </nc>
    <odxf>
      <alignment horizontal="general" vertical="bottom" wrapText="0" readingOrder="0"/>
      <border outline="0">
        <left/>
        <right/>
        <top/>
        <bottom/>
      </border>
    </odxf>
    <ndxf>
      <alignment horizontal="center" vertical="top" wrapText="1" readingOrder="0"/>
      <border outline="0">
        <left style="thin">
          <color rgb="FF000000"/>
        </left>
        <right style="thin">
          <color rgb="FF000000"/>
        </right>
        <top style="thin">
          <color rgb="FF000000"/>
        </top>
        <bottom style="thin">
          <color rgb="FF000000"/>
        </bottom>
      </border>
    </ndxf>
  </rcc>
  <rfmt sheetId="47" sqref="C5" start="0" length="0">
    <dxf>
      <alignment horizontal="left" vertical="top" readingOrder="0"/>
    </dxf>
  </rfmt>
  <rfmt sheetId="47" sqref="D5" start="0" length="0">
    <dxf>
      <font>
        <b/>
        <sz val="10"/>
        <color auto="1"/>
        <name val="Georgia"/>
        <scheme val="none"/>
      </font>
      <alignment horizontal="center" vertical="top" wrapText="1" readingOrder="0"/>
      <border outline="0">
        <left style="thin">
          <color rgb="FF000000"/>
        </left>
        <right style="thin">
          <color rgb="FF000000"/>
        </right>
        <top style="thin">
          <color rgb="FF000000"/>
        </top>
      </border>
    </dxf>
  </rfmt>
  <rcc rId="13878" sId="47" odxf="1" dxf="1">
    <nc r="A6" t="inlineStr">
      <is>
        <r>
          <rPr>
            <sz val="11"/>
            <rFont val="Arial"/>
            <family val="2"/>
          </rPr>
          <t>DoorHan Лайт Экстра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79" sId="47" odxf="1" dxf="1" numFmtId="4">
    <nc r="B6">
      <v>27</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80" sId="47" odxf="1" dxf="1" numFmtId="4">
    <nc r="C6">
      <v>1127.3499999999999</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6" start="0" length="0">
    <dxf>
      <font>
        <b/>
        <sz val="11"/>
        <color rgb="FF000000"/>
        <name val="Arial"/>
        <scheme val="none"/>
      </font>
      <numFmt numFmtId="2" formatCode="0.00"/>
      <fill>
        <patternFill patternType="solid">
          <bgColor rgb="FFFFFF00"/>
        </patternFill>
      </fill>
      <alignment horizontal="center" vertical="top" readingOrder="0"/>
      <border outline="0">
        <left style="medium">
          <color indexed="64"/>
        </left>
        <right style="medium">
          <color indexed="64"/>
        </right>
        <top style="medium">
          <color indexed="64"/>
        </top>
        <bottom style="thin">
          <color indexed="64"/>
        </bottom>
      </border>
    </dxf>
  </rfmt>
  <rcc rId="13881" sId="47" odxf="1" dxf="1">
    <nc r="A7" t="inlineStr">
      <is>
        <r>
          <rPr>
            <sz val="11"/>
            <rFont val="Arial"/>
            <family val="2"/>
          </rPr>
          <t>DoorHan Лайт</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82" sId="47" odxf="1" dxf="1" numFmtId="4">
    <nc r="B7">
      <v>35</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83" sId="47" odxf="1" dxf="1" numFmtId="4">
    <nc r="C7">
      <v>1325.65</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7" start="0" length="0">
    <dxf>
      <font>
        <b/>
        <sz val="11"/>
        <color rgb="FF000000"/>
        <name val="Arial"/>
        <scheme val="none"/>
      </font>
      <numFmt numFmtId="2" formatCode="0.00"/>
      <fill>
        <patternFill patternType="solid">
          <bgColor rgb="FFFFFF00"/>
        </patternFill>
      </fill>
      <alignment horizontal="center" vertical="top" readingOrder="0"/>
      <border outline="0">
        <left style="medium">
          <color indexed="64"/>
        </left>
        <right style="medium">
          <color indexed="64"/>
        </right>
        <top style="thin">
          <color indexed="64"/>
        </top>
        <bottom style="thin">
          <color indexed="64"/>
        </bottom>
      </border>
    </dxf>
  </rfmt>
  <rcc rId="13884" sId="47" odxf="1" dxf="1">
    <nc r="A8" t="inlineStr">
      <is>
        <r>
          <rPr>
            <sz val="11"/>
            <rFont val="Arial"/>
            <family val="2"/>
          </rPr>
          <t>DoorHan Универсал</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85" sId="47" odxf="1" dxf="1" numFmtId="4">
    <nc r="B8">
      <v>50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86" sId="47" odxf="1" dxf="1" numFmtId="4">
    <nc r="C8">
      <v>1730.87</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8" start="0" length="0">
    <dxf>
      <font>
        <b/>
        <sz val="11"/>
        <color rgb="FF000000"/>
        <name val="Arial"/>
        <scheme val="none"/>
      </font>
      <numFmt numFmtId="2" formatCode="0.00"/>
      <fill>
        <patternFill patternType="solid">
          <bgColor rgb="FFFFFF00"/>
        </patternFill>
      </fill>
      <alignment horizontal="center" vertical="top" readingOrder="0"/>
      <border outline="0">
        <left style="medium">
          <color indexed="64"/>
        </left>
        <right style="medium">
          <color indexed="64"/>
        </right>
        <top style="thin">
          <color indexed="64"/>
        </top>
        <bottom style="medium">
          <color indexed="64"/>
        </bottom>
      </border>
    </dxf>
  </rfmt>
  <rcc rId="13887" sId="47" odxf="1" dxf="1">
    <nc r="A9" t="inlineStr">
      <is>
        <r>
          <rPr>
            <sz val="11"/>
            <rFont val="Arial"/>
            <family val="2"/>
          </rPr>
          <t>DoorHan Акустик</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88" sId="47" odxf="1" dxf="1" numFmtId="4">
    <nc r="B9">
      <v>60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89" sId="47" odxf="1" dxf="1" numFmtId="4">
    <nc r="C9">
      <v>2068.38</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9" start="0" length="0">
    <dxf>
      <font>
        <sz val="11"/>
        <color rgb="FF000000"/>
        <name val="Arial"/>
        <scheme val="none"/>
      </font>
      <numFmt numFmtId="2" formatCode="0.00"/>
      <alignment horizontal="center" vertical="top" readingOrder="0"/>
      <border outline="0">
        <left style="thin">
          <color indexed="64"/>
        </left>
        <right style="thin">
          <color indexed="64"/>
        </right>
        <bottom style="thin">
          <color indexed="64"/>
        </bottom>
      </border>
    </dxf>
  </rfmt>
  <rcc rId="13890" sId="47" odxf="1" dxf="1">
    <nc r="A10" t="inlineStr">
      <is>
        <r>
          <rPr>
            <sz val="11"/>
            <rFont val="Arial"/>
            <family val="2"/>
          </rPr>
          <t>DoorHan Вент Оптима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91" sId="47" odxf="1" dxf="1" numFmtId="4">
    <nc r="B10">
      <v>75</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92" sId="47" odxf="1" dxf="1" numFmtId="4">
    <nc r="C10">
      <v>2735.51</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0"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893" sId="47" odxf="1" dxf="1">
    <nc r="A11" t="inlineStr">
      <is>
        <r>
          <rPr>
            <sz val="11"/>
            <rFont val="Arial"/>
            <family val="2"/>
          </rPr>
          <t>DoorHan Вент</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94" sId="47" odxf="1" dxf="1" numFmtId="4">
    <nc r="B11">
      <v>90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95" sId="47" odxf="1" dxf="1" numFmtId="4">
    <nc r="C11">
      <v>3262.51</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1"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896" sId="47" odxf="1" dxf="1">
    <nc r="A12" t="inlineStr">
      <is>
        <r>
          <rPr>
            <sz val="11"/>
            <rFont val="Arial"/>
            <family val="2"/>
          </rPr>
          <t>DoorHan Руф Н Оптима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897" sId="47" odxf="1" dxf="1" numFmtId="4">
    <nc r="B12">
      <v>105</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898" sId="47" odxf="1" dxf="1" numFmtId="4">
    <nc r="C12">
      <v>3758.03</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2"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899" sId="47" odxf="1" dxf="1">
    <nc r="A13" t="inlineStr">
      <is>
        <r>
          <rPr>
            <sz val="11"/>
            <rFont val="Arial"/>
            <family val="2"/>
          </rPr>
          <t>DoorHan Руф Н</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00" sId="47" odxf="1" dxf="1" numFmtId="4">
    <nc r="B13">
      <v>110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01" sId="47" odxf="1" dxf="1" numFmtId="4">
    <nc r="C13">
      <v>3923.21</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3"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02" sId="47" odxf="1" dxf="1">
    <nc r="A14" t="inlineStr">
      <is>
        <r>
          <rPr>
            <sz val="11"/>
            <rFont val="Arial"/>
            <family val="2"/>
          </rPr>
          <t>DoorHan Фасад Универсал</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03" sId="47" odxf="1" dxf="1" numFmtId="4">
    <nc r="B14">
      <v>110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04" sId="47" odxf="1" dxf="1" numFmtId="4">
    <nc r="C14">
      <v>4104.8999999999996</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4"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05" sId="47" odxf="1" dxf="1">
    <nc r="A15" t="inlineStr">
      <is>
        <r>
          <rPr>
            <sz val="11"/>
            <rFont val="Arial"/>
            <family val="2"/>
          </rPr>
          <t>DoorHan Флор Оптима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06" sId="47" odxf="1" dxf="1" numFmtId="4">
    <nc r="B15">
      <v>125</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07" sId="47" odxf="1" dxf="1" numFmtId="4">
    <nc r="C15">
      <v>4418.7299999999996</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5"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08" sId="47" odxf="1" dxf="1">
    <nc r="A16" t="inlineStr">
      <is>
        <r>
          <rPr>
            <sz val="11"/>
            <rFont val="Arial"/>
            <family val="2"/>
          </rPr>
          <t>DoorHan Фасад Оптима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09" sId="47" odxf="1" dxf="1" numFmtId="4">
    <nc r="B16">
      <v>135</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10" sId="47" odxf="1" dxf="1" numFmtId="4">
    <nc r="C16">
      <v>4749.08</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6"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11" sId="47" odxf="1" dxf="1">
    <nc r="A17" t="inlineStr">
      <is>
        <r>
          <rPr>
            <sz val="11"/>
            <rFont val="Arial"/>
            <family val="2"/>
          </rPr>
          <t>DoorHan Фасад</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12" sId="47" odxf="1" dxf="1" numFmtId="4">
    <nc r="B17">
      <v>150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13" sId="47" odxf="1" dxf="1" numFmtId="4">
    <nc r="C17">
      <v>5244.61</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7"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14" sId="47" odxf="1" dxf="1">
    <nc r="A18" t="inlineStr">
      <is>
        <r>
          <rPr>
            <sz val="11"/>
            <rFont val="Arial"/>
            <family val="2"/>
          </rPr>
          <t>DoorHan Руф</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15" sId="47" odxf="1" dxf="1" numFmtId="4">
    <nc r="B18">
      <v>140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16" sId="47" odxf="1" dxf="1" numFmtId="4">
    <nc r="C18">
      <v>4914.26</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8"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17" sId="47" odxf="1" dxf="1">
    <nc r="A19" t="inlineStr">
      <is>
        <r>
          <rPr>
            <sz val="11"/>
            <rFont val="Arial"/>
            <family val="2"/>
          </rPr>
          <t>DoorHan Руф В Оптима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18" sId="47" odxf="1" dxf="1" numFmtId="4">
    <nc r="B19">
      <v>160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19" sId="47" odxf="1" dxf="1" numFmtId="4">
    <nc r="C19">
      <v>5574.96</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19"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20" sId="47" odxf="1" dxf="1">
    <nc r="A20" t="inlineStr">
      <is>
        <r>
          <rPr>
            <sz val="11"/>
            <rFont val="Arial"/>
            <family val="2"/>
          </rPr>
          <t>DoorHan Руф В</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21" sId="47" odxf="1" dxf="1" numFmtId="4">
    <nc r="B20">
      <v>170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22" sId="47" odxf="1" dxf="1" numFmtId="4">
    <nc r="C20">
      <v>5905.31</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20"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cc rId="13923" sId="47" odxf="1" dxf="1">
    <nc r="A21" t="inlineStr">
      <is>
        <r>
          <rPr>
            <sz val="11"/>
            <rFont val="Arial"/>
            <family val="2"/>
          </rPr>
          <t>DoorHan Руф В Экстра</t>
        </r>
      </is>
    </nc>
    <odxf>
      <font>
        <sz val="11"/>
        <color theme="1"/>
        <name val="Calibri"/>
        <scheme val="minor"/>
      </font>
      <alignment horizontal="general" vertical="bottom" wrapText="0" readingOrder="0"/>
      <border outline="0">
        <left/>
        <right/>
        <top/>
        <bottom/>
      </border>
    </odxf>
    <ndxf>
      <font>
        <sz val="11"/>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13924" sId="47" odxf="1" dxf="1" numFmtId="4">
    <nc r="B21">
      <v>190</v>
    </nc>
    <odxf>
      <font>
        <sz val="11"/>
        <color theme="1"/>
        <name val="Calibri"/>
        <scheme val="minor"/>
      </font>
      <numFmt numFmtId="0" formatCode="General"/>
      <alignment horizontal="general" vertical="bottom" shrinkToFit="0" readingOrder="0"/>
      <border outline="0">
        <left/>
        <right/>
        <top/>
        <bottom/>
      </border>
    </odxf>
    <ndxf>
      <font>
        <sz val="11"/>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13925" sId="47" odxf="1" dxf="1" numFmtId="4">
    <nc r="C21">
      <v>6566.01</v>
    </nc>
    <odxf>
      <font>
        <sz val="11"/>
        <color theme="1"/>
        <name val="Calibri"/>
        <scheme val="minor"/>
      </font>
      <numFmt numFmtId="0" formatCode="General"/>
      <alignment horizontal="general" vertical="bottom" shrinkToFit="0" readingOrder="0"/>
      <border outline="0">
        <left/>
        <top/>
        <bottom/>
      </border>
    </odxf>
    <ndxf>
      <font>
        <sz val="11"/>
        <color rgb="FF000000"/>
        <name val="Arial"/>
        <scheme val="none"/>
      </font>
      <numFmt numFmtId="2" formatCode="0.00"/>
      <alignment horizontal="right" vertical="top" shrinkToFit="1" readingOrder="0"/>
      <border outline="0">
        <left style="thin">
          <color rgb="FF000000"/>
        </left>
        <top style="thin">
          <color rgb="FF000000"/>
        </top>
        <bottom style="thin">
          <color rgb="FF000000"/>
        </bottom>
      </border>
    </ndxf>
  </rcc>
  <rfmt sheetId="47" sqref="D21" start="0" length="0">
    <dxf>
      <font>
        <sz val="11"/>
        <color rgb="FF000000"/>
        <name val="Arial"/>
        <scheme val="none"/>
      </font>
      <numFmt numFmtId="2" formatCode="0.00"/>
      <alignment horizontal="center" vertical="top" readingOrder="0"/>
      <border outline="0">
        <left style="thin">
          <color indexed="64"/>
        </left>
        <right style="thin">
          <color indexed="64"/>
        </right>
        <top style="thin">
          <color indexed="64"/>
        </top>
        <bottom style="thin">
          <color indexed="64"/>
        </bottom>
      </border>
    </dxf>
  </rfmt>
  <rfmt sheetId="47" sqref="A22" start="0" length="0">
    <dxf>
      <alignment horizontal="left" vertical="top" readingOrder="0"/>
    </dxf>
  </rfmt>
  <rfmt sheetId="47" sqref="B22" start="0" length="0">
    <dxf>
      <alignment horizontal="center" vertical="top" readingOrder="0"/>
    </dxf>
  </rfmt>
  <rfmt sheetId="47" sqref="C22" start="0" length="0">
    <dxf>
      <alignment horizontal="left" vertical="top" readingOrder="0"/>
    </dxf>
  </rfmt>
  <rfmt sheetId="47" sqref="D22" start="0" length="0">
    <dxf>
      <font>
        <sz val="11"/>
        <color rgb="FF000000"/>
        <name val="Arial"/>
        <scheme val="none"/>
      </font>
      <alignment horizontal="center" vertical="top" readingOrder="0"/>
    </dxf>
  </rfmt>
  <rfmt sheetId="47" sqref="A23" start="0" length="0">
    <dxf>
      <alignment horizontal="left" vertical="top" readingOrder="0"/>
    </dxf>
  </rfmt>
  <rfmt sheetId="47" sqref="B23" start="0" length="0">
    <dxf>
      <alignment horizontal="center" vertical="top" readingOrder="0"/>
    </dxf>
  </rfmt>
  <rfmt sheetId="47" sqref="C23" start="0" length="0">
    <dxf>
      <alignment horizontal="left" vertical="top" readingOrder="0"/>
    </dxf>
  </rfmt>
  <rfmt sheetId="47" sqref="D23" start="0" length="0">
    <dxf>
      <font>
        <sz val="11"/>
        <color rgb="FF000000"/>
        <name val="Arial"/>
        <scheme val="none"/>
      </font>
      <alignment horizontal="center" vertical="top" readingOrder="0"/>
    </dxf>
  </rfmt>
  <rfmt sheetId="47" sqref="A24" start="0" length="0">
    <dxf>
      <alignment horizontal="left" vertical="top" readingOrder="0"/>
    </dxf>
  </rfmt>
  <rfmt sheetId="47" sqref="B24" start="0" length="0">
    <dxf>
      <alignment horizontal="center" vertical="top" readingOrder="0"/>
    </dxf>
  </rfmt>
  <rfmt sheetId="47" sqref="C24" start="0" length="0">
    <dxf>
      <alignment horizontal="left" vertical="top" readingOrder="0"/>
    </dxf>
  </rfmt>
  <rfmt sheetId="47" sqref="D24" start="0" length="0">
    <dxf>
      <font>
        <sz val="11"/>
        <color rgb="FF000000"/>
        <name val="Arial"/>
        <scheme val="none"/>
      </font>
      <alignment horizontal="center" vertical="top" readingOrder="0"/>
    </dxf>
  </rfmt>
  <rfmt sheetId="47" sqref="A25" start="0" length="0">
    <dxf>
      <alignment horizontal="left" vertical="top" readingOrder="0"/>
    </dxf>
  </rfmt>
  <rfmt sheetId="47" sqref="B25" start="0" length="0">
    <dxf>
      <alignment horizontal="center" vertical="top" readingOrder="0"/>
    </dxf>
  </rfmt>
  <rfmt sheetId="47" sqref="C25" start="0" length="0">
    <dxf>
      <alignment horizontal="left" vertical="top" readingOrder="0"/>
    </dxf>
  </rfmt>
  <rfmt sheetId="47" sqref="D25" start="0" length="0">
    <dxf>
      <font>
        <sz val="11"/>
        <color rgb="FF000000"/>
        <name val="Arial"/>
        <scheme val="none"/>
      </font>
      <alignment horizontal="center" vertical="top" readingOrder="0"/>
    </dxf>
  </rfmt>
  <rfmt sheetId="47" sqref="A26" start="0" length="0">
    <dxf>
      <alignment horizontal="left" vertical="top" readingOrder="0"/>
    </dxf>
  </rfmt>
  <rfmt sheetId="47" sqref="B26" start="0" length="0">
    <dxf>
      <alignment horizontal="center" vertical="top" readingOrder="0"/>
    </dxf>
  </rfmt>
  <rfmt sheetId="47" sqref="C26" start="0" length="0">
    <dxf>
      <alignment horizontal="left" vertical="top" readingOrder="0"/>
    </dxf>
  </rfmt>
  <rfmt sheetId="47" sqref="D26" start="0" length="0">
    <dxf>
      <font>
        <sz val="11"/>
        <color rgb="FF000000"/>
        <name val="Arial"/>
        <scheme val="none"/>
      </font>
      <alignment horizontal="center" vertical="top" readingOrder="0"/>
    </dxf>
  </rfmt>
  <rfmt sheetId="47" sqref="A27" start="0" length="0">
    <dxf>
      <alignment horizontal="left" vertical="top" readingOrder="0"/>
    </dxf>
  </rfmt>
  <rfmt sheetId="47" sqref="B27" start="0" length="0">
    <dxf>
      <alignment horizontal="center" vertical="top" readingOrder="0"/>
    </dxf>
  </rfmt>
  <rfmt sheetId="47" sqref="C27" start="0" length="0">
    <dxf>
      <alignment horizontal="left" vertical="top" readingOrder="0"/>
    </dxf>
  </rfmt>
  <rfmt sheetId="47" sqref="D27" start="0" length="0">
    <dxf>
      <font>
        <sz val="11"/>
        <color rgb="FF000000"/>
        <name val="Arial"/>
        <scheme val="none"/>
      </font>
      <alignment horizontal="center" vertical="top" readingOrder="0"/>
    </dxf>
  </rfmt>
  <rfmt sheetId="47" sqref="A28" start="0" length="0">
    <dxf>
      <alignment horizontal="left" vertical="top" readingOrder="0"/>
    </dxf>
  </rfmt>
  <rfmt sheetId="47" sqref="B28" start="0" length="0">
    <dxf>
      <alignment horizontal="center" vertical="top" readingOrder="0"/>
    </dxf>
  </rfmt>
  <rfmt sheetId="47" sqref="C28" start="0" length="0">
    <dxf>
      <alignment horizontal="left" vertical="top" readingOrder="0"/>
    </dxf>
  </rfmt>
  <rfmt sheetId="47" sqref="D28" start="0" length="0">
    <dxf>
      <font>
        <sz val="11"/>
        <color rgb="FF000000"/>
        <name val="Arial"/>
        <scheme val="none"/>
      </font>
      <alignment horizontal="center" vertical="top" readingOrder="0"/>
    </dxf>
  </rfmt>
  <rfmt sheetId="47" sqref="A29" start="0" length="0">
    <dxf>
      <alignment horizontal="left" vertical="top" readingOrder="0"/>
    </dxf>
  </rfmt>
  <rfmt sheetId="47" sqref="B29" start="0" length="0">
    <dxf>
      <alignment horizontal="center" vertical="top" readingOrder="0"/>
    </dxf>
  </rfmt>
  <rfmt sheetId="47" sqref="C29" start="0" length="0">
    <dxf>
      <alignment horizontal="left" vertical="top" readingOrder="0"/>
    </dxf>
  </rfmt>
  <rfmt sheetId="47" sqref="D29" start="0" length="0">
    <dxf>
      <font>
        <sz val="11"/>
        <color rgb="FF000000"/>
        <name val="Arial"/>
        <scheme val="none"/>
      </font>
      <alignment horizontal="center" vertical="top" readingOrder="0"/>
    </dxf>
  </rfmt>
  <rfmt sheetId="47" sqref="A30" start="0" length="0">
    <dxf>
      <alignment horizontal="left" vertical="top" readingOrder="0"/>
    </dxf>
  </rfmt>
  <rfmt sheetId="47" sqref="B30" start="0" length="0">
    <dxf>
      <alignment horizontal="center" vertical="top" readingOrder="0"/>
    </dxf>
  </rfmt>
  <rfmt sheetId="47" sqref="C30" start="0" length="0">
    <dxf>
      <alignment horizontal="left" vertical="top" readingOrder="0"/>
    </dxf>
  </rfmt>
  <rfmt sheetId="47" sqref="D30" start="0" length="0">
    <dxf>
      <font>
        <sz val="11"/>
        <color rgb="FF000000"/>
        <name val="Arial"/>
        <scheme val="none"/>
      </font>
      <alignment horizontal="center" vertical="top" readingOrder="0"/>
    </dxf>
  </rfmt>
  <rfmt sheetId="47" sqref="A31" start="0" length="0">
    <dxf>
      <alignment horizontal="left" vertical="top" readingOrder="0"/>
    </dxf>
  </rfmt>
  <rfmt sheetId="47" sqref="B31" start="0" length="0">
    <dxf>
      <alignment horizontal="center" vertical="top" readingOrder="0"/>
    </dxf>
  </rfmt>
  <rfmt sheetId="47" sqref="C31" start="0" length="0">
    <dxf>
      <alignment horizontal="left" vertical="top" readingOrder="0"/>
    </dxf>
  </rfmt>
  <rfmt sheetId="47" sqref="D31" start="0" length="0">
    <dxf>
      <font>
        <sz val="11"/>
        <color rgb="FF000000"/>
        <name val="Arial"/>
        <scheme val="none"/>
      </font>
      <alignment horizontal="center" vertical="top" readingOrder="0"/>
    </dxf>
  </rfmt>
  <rcc rId="13926" sId="47" odxf="1" dxf="1">
    <nc r="A32" t="inlineStr">
      <is>
        <r>
          <rPr>
            <sz val="10"/>
            <rFont val="Arial"/>
            <family val="2"/>
          </rPr>
          <t xml:space="preserve">Цена указана с учетом доставки до </t>
        </r>
        <r>
          <rPr>
            <b/>
            <sz val="10"/>
            <rFont val="Georgia"/>
            <family val="1"/>
          </rPr>
          <t>г. Орел.</t>
        </r>
      </is>
    </nc>
    <odxf>
      <font>
        <sz val="11"/>
        <color theme="1"/>
        <name val="Calibri"/>
        <scheme val="minor"/>
      </font>
      <alignment horizontal="general" vertical="bottom" readingOrder="0"/>
    </odxf>
    <ndxf>
      <font>
        <sz val="10"/>
        <color auto="1"/>
        <name val="Times New Roman"/>
        <scheme val="none"/>
      </font>
      <alignment horizontal="left" vertical="top" readingOrder="0"/>
    </ndxf>
  </rcc>
  <rfmt sheetId="47" sqref="B32" start="0" length="0">
    <dxf>
      <alignment horizontal="left" vertical="top" readingOrder="0"/>
    </dxf>
  </rfmt>
  <rfmt sheetId="47" sqref="C32" start="0" length="0">
    <dxf>
      <alignment horizontal="left" vertical="top" readingOrder="0"/>
    </dxf>
  </rfmt>
  <rfmt sheetId="47" sqref="D32" start="0" length="0">
    <dxf>
      <font>
        <sz val="11"/>
        <color rgb="FF000000"/>
        <name val="Arial"/>
        <scheme val="none"/>
      </font>
      <alignment horizontal="center" vertical="top" readingOrder="0"/>
    </dxf>
  </rfmt>
  <rcc rId="13927" sId="47" odxf="1" dxf="1">
    <nc r="A33" t="inlineStr">
      <is>
        <r>
          <rPr>
            <sz val="10"/>
            <rFont val="Arial"/>
            <family val="2"/>
          </rPr>
          <t xml:space="preserve">Цена указана с условием загрузки полной фуры материала </t>
        </r>
        <r>
          <rPr>
            <b/>
            <sz val="10"/>
            <rFont val="Georgia"/>
            <family val="1"/>
          </rPr>
          <t>объемом не менее 76,032 м3.</t>
        </r>
      </is>
    </nc>
    <odxf>
      <alignment horizontal="general" vertical="bottom" readingOrder="0"/>
    </odxf>
    <ndxf>
      <alignment horizontal="left" vertical="top" readingOrder="0"/>
    </ndxf>
  </rcc>
  <rfmt sheetId="47" sqref="B33" start="0" length="0">
    <dxf>
      <alignment horizontal="left" vertical="top" readingOrder="0"/>
    </dxf>
  </rfmt>
  <rfmt sheetId="47" sqref="C33" start="0" length="0">
    <dxf>
      <alignment horizontal="left" vertical="top" readingOrder="0"/>
    </dxf>
  </rfmt>
  <rfmt sheetId="47" sqref="D33" start="0" length="0">
    <dxf>
      <font>
        <sz val="11"/>
        <color rgb="FF000000"/>
        <name val="Arial"/>
        <scheme val="none"/>
      </font>
      <alignment horizontal="center" vertical="top" readingOrder="0"/>
    </dxf>
  </rfmt>
  <rcc rId="13928" sId="47" odxf="1" dxf="1">
    <nc r="A34" t="inlineStr">
      <is>
        <r>
          <rPr>
            <sz val="10"/>
            <rFont val="Arial"/>
            <family val="2"/>
          </rPr>
          <t>Срок поставки: по согласованию сторон.</t>
        </r>
      </is>
    </nc>
    <odxf>
      <font>
        <sz val="11"/>
        <color theme="1"/>
        <name val="Calibri"/>
        <scheme val="minor"/>
      </font>
      <alignment horizontal="general" vertical="bottom" readingOrder="0"/>
    </odxf>
    <ndxf>
      <font>
        <sz val="10"/>
        <color auto="1"/>
        <name val="Arial"/>
        <scheme val="none"/>
      </font>
      <alignment horizontal="left" vertical="top" readingOrder="0"/>
    </ndxf>
  </rcc>
  <rfmt sheetId="47" sqref="B34" start="0" length="0">
    <dxf>
      <alignment horizontal="left" vertical="top" readingOrder="0"/>
    </dxf>
  </rfmt>
  <rfmt sheetId="47" sqref="C34" start="0" length="0">
    <dxf>
      <alignment horizontal="left" vertical="top" readingOrder="0"/>
    </dxf>
  </rfmt>
  <rfmt sheetId="47" sqref="D34" start="0" length="0">
    <dxf>
      <font>
        <sz val="11"/>
        <color rgb="FF000000"/>
        <name val="Arial"/>
        <scheme val="none"/>
      </font>
      <alignment horizontal="center" vertical="top" readingOrder="0"/>
    </dxf>
  </rfmt>
  <rcc rId="13929" sId="47" odxf="1" dxf="1">
    <nc r="A35" t="inlineStr">
      <is>
        <t>Конт тел.</t>
      </is>
    </nc>
    <odxf>
      <font>
        <sz val="11"/>
        <color theme="1"/>
        <name val="Calibri"/>
        <scheme val="minor"/>
      </font>
      <alignment horizontal="general" vertical="bottom" readingOrder="0"/>
    </odxf>
    <ndxf>
      <font>
        <sz val="10"/>
        <color rgb="FF000000"/>
        <name val="Times New Roman"/>
        <scheme val="none"/>
      </font>
      <alignment horizontal="left" vertical="top" readingOrder="0"/>
    </ndxf>
  </rcc>
  <rcc rId="13930" sId="47" odxf="1" dxf="1">
    <nc r="B35" t="inlineStr">
      <is>
        <t>Иван</t>
      </is>
    </nc>
    <odxf>
      <font>
        <sz val="11"/>
        <color theme="1"/>
        <name val="Calibri"/>
        <scheme val="minor"/>
      </font>
      <alignment horizontal="general" vertical="bottom" readingOrder="0"/>
    </odxf>
    <ndxf>
      <font>
        <sz val="16"/>
        <color rgb="FF000000"/>
        <name val="Times New Roman"/>
        <scheme val="none"/>
      </font>
      <alignment horizontal="center" vertical="top" readingOrder="0"/>
    </ndxf>
  </rcc>
  <rfmt sheetId="47" sqref="C35" start="0" length="0">
    <dxf>
      <alignment horizontal="left" vertical="top" readingOrder="0"/>
    </dxf>
  </rfmt>
  <rcc rId="13931" sId="47" odxf="1" dxf="1">
    <nc r="D35">
      <v>89536104242</v>
    </nc>
    <odxf>
      <font>
        <b val="0"/>
        <sz val="11"/>
        <color theme="1"/>
        <name val="Calibri"/>
        <scheme val="minor"/>
      </font>
      <alignment horizontal="general" vertical="bottom" readingOrder="0"/>
      <border outline="0">
        <left/>
        <right/>
        <top/>
        <bottom/>
      </border>
    </odxf>
    <ndxf>
      <font>
        <b/>
        <sz val="11"/>
        <color rgb="FF000000"/>
        <name val="Arial"/>
        <scheme val="none"/>
      </font>
      <alignment horizontal="center" vertical="top" readingOrder="0"/>
      <border outline="0">
        <left style="medium">
          <color indexed="64"/>
        </left>
        <right style="medium">
          <color indexed="64"/>
        </right>
        <top style="medium">
          <color indexed="64"/>
        </top>
        <bottom style="medium">
          <color indexed="64"/>
        </bottom>
      </border>
    </ndxf>
  </rcc>
  <rfmt sheetId="47" sqref="A36" start="0" length="0">
    <dxf>
      <alignment horizontal="left" vertical="top" readingOrder="0"/>
    </dxf>
  </rfmt>
  <rfmt sheetId="47" sqref="B36" start="0" length="0">
    <dxf>
      <alignment horizontal="center" vertical="top" readingOrder="0"/>
    </dxf>
  </rfmt>
  <rfmt sheetId="47" sqref="C36" start="0" length="0">
    <dxf>
      <alignment horizontal="left" vertical="top" readingOrder="0"/>
    </dxf>
  </rfmt>
  <rfmt sheetId="47" sqref="D36" start="0" length="0">
    <dxf>
      <font>
        <sz val="11"/>
        <color rgb="FF000000"/>
        <name val="Arial"/>
        <scheme val="none"/>
      </font>
      <alignment horizontal="center" vertical="top" readingOrder="0"/>
    </dxf>
  </rfmt>
  <rfmt sheetId="47" sqref="A37" start="0" length="0">
    <dxf>
      <alignment horizontal="left" vertical="top" readingOrder="0"/>
    </dxf>
  </rfmt>
  <rfmt sheetId="47" sqref="B37" start="0" length="0">
    <dxf>
      <alignment horizontal="center" vertical="top" readingOrder="0"/>
    </dxf>
  </rfmt>
  <rfmt sheetId="47" sqref="C37" start="0" length="0">
    <dxf>
      <alignment horizontal="left" vertical="top" readingOrder="0"/>
    </dxf>
  </rfmt>
  <rfmt sheetId="47" sqref="D37" start="0" length="0">
    <dxf>
      <font>
        <sz val="11"/>
        <color rgb="FF000000"/>
        <name val="Arial"/>
        <scheme val="none"/>
      </font>
      <alignment horizontal="center" vertical="top" readingOrder="0"/>
    </dxf>
  </rfmt>
  <rfmt sheetId="47" sqref="C5" start="0" length="0">
    <dxf>
      <border>
        <left style="thin">
          <color indexed="64"/>
        </left>
        <right style="thin">
          <color indexed="64"/>
        </right>
        <top style="thin">
          <color indexed="64"/>
        </top>
        <bottom style="thin">
          <color indexed="64"/>
        </bottom>
      </border>
    </dxf>
  </rfmt>
  <rfmt sheetId="47" sqref="C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7" sqref="D6:D8">
    <dxf>
      <fill>
        <patternFill>
          <bgColor theme="0"/>
        </patternFill>
      </fill>
    </dxf>
  </rfmt>
  <rfmt sheetId="47" sqref="E5" start="0" length="0">
    <dxf>
      <border>
        <left style="thin">
          <color indexed="64"/>
        </left>
        <right style="thin">
          <color indexed="64"/>
        </right>
        <top style="thin">
          <color indexed="64"/>
        </top>
        <bottom style="thin">
          <color indexed="64"/>
        </bottom>
      </border>
    </dxf>
  </rfmt>
  <rfmt sheetId="47" sqref="D5:D21" start="0" length="0">
    <dxf>
      <border>
        <left style="thin">
          <color indexed="64"/>
        </left>
      </border>
    </dxf>
  </rfmt>
  <rfmt sheetId="47" sqref="D5:E5" start="0" length="0">
    <dxf>
      <border>
        <top style="thin">
          <color indexed="64"/>
        </top>
      </border>
    </dxf>
  </rfmt>
  <rfmt sheetId="47" sqref="E5:E21" start="0" length="0">
    <dxf>
      <border>
        <right style="thin">
          <color indexed="64"/>
        </right>
      </border>
    </dxf>
  </rfmt>
  <rfmt sheetId="47" sqref="D21:E21" start="0" length="0">
    <dxf>
      <border>
        <bottom style="thin">
          <color indexed="64"/>
        </bottom>
      </border>
    </dxf>
  </rfmt>
  <rfmt sheetId="47" sqref="D5:E21">
    <dxf>
      <border>
        <left style="thin">
          <color indexed="64"/>
        </left>
        <right style="thin">
          <color indexed="64"/>
        </right>
        <top style="thin">
          <color indexed="64"/>
        </top>
        <bottom style="thin">
          <color indexed="64"/>
        </bottom>
        <vertical style="thin">
          <color indexed="64"/>
        </vertical>
        <horizontal style="thin">
          <color indexed="64"/>
        </horizontal>
      </border>
    </dxf>
  </rfmt>
  <rcc rId="13932" sId="47">
    <nc r="D5" t="inlineStr">
      <is>
        <t>Цена руб/м3, Розница</t>
      </is>
    </nc>
  </rcc>
  <rcc rId="13933" sId="47">
    <nc r="E5" t="inlineStr">
      <is>
        <t>Цена руб/м3, Опт</t>
      </is>
    </nc>
  </rcc>
  <rfmt sheetId="47" sqref="E5">
    <dxf>
      <alignment vertical="center" readingOrder="0"/>
    </dxf>
  </rfmt>
  <rfmt sheetId="47" sqref="E5" start="0" length="2147483647">
    <dxf>
      <font>
        <b/>
      </font>
    </dxf>
  </rfmt>
  <rfmt sheetId="47" sqref="E5" start="0" length="2147483647">
    <dxf>
      <font>
        <sz val="10"/>
      </font>
    </dxf>
  </rfmt>
  <rfmt sheetId="47" sqref="E5" start="0" length="2147483647">
    <dxf>
      <font>
        <sz val="12"/>
      </font>
    </dxf>
  </rfmt>
  <rfmt sheetId="47" sqref="D5:E5">
    <dxf>
      <alignment vertical="center" readingOrder="0"/>
    </dxf>
  </rfmt>
  <rcc rId="13934" sId="47" numFmtId="4">
    <nc r="D6">
      <v>1315</v>
    </nc>
  </rcc>
  <rcc rId="13935" sId="47" odxf="1" dxf="1" numFmtId="4">
    <nc r="E6">
      <v>1225</v>
    </nc>
    <odxf>
      <numFmt numFmtId="0" formatCode="General"/>
    </odxf>
    <ndxf>
      <numFmt numFmtId="4" formatCode="#,##0.00"/>
    </ndxf>
  </rcc>
  <rfmt sheetId="47" sqref="D6:E21" start="0" length="2147483647">
    <dxf>
      <font>
        <b val="0"/>
      </font>
    </dxf>
  </rfmt>
  <rfmt sheetId="47" sqref="D6:E21" start="0" length="2147483647">
    <dxf>
      <font>
        <b/>
      </font>
    </dxf>
  </rfmt>
  <rfmt sheetId="47" sqref="E5:E21" start="0" length="2147483647">
    <dxf>
      <font>
        <name val="Arial"/>
        <scheme val="none"/>
      </font>
    </dxf>
  </rfmt>
  <rcc rId="13936" sId="47" numFmtId="4">
    <nc r="D7">
      <v>1555</v>
    </nc>
  </rcc>
  <rcc rId="13937" sId="47">
    <nc r="E7">
      <v>1450</v>
    </nc>
  </rcc>
  <rfmt sheetId="47" sqref="E7:E21">
    <dxf>
      <numFmt numFmtId="2" formatCode="0.00"/>
    </dxf>
  </rfmt>
  <rfmt sheetId="47" sqref="E6:E21">
    <dxf>
      <alignment horizontal="center" readingOrder="0"/>
    </dxf>
  </rfmt>
  <rcc rId="13938" sId="47" numFmtId="4">
    <nc r="D8">
      <v>2005</v>
    </nc>
  </rcc>
  <rcc rId="13939" sId="47" numFmtId="4">
    <nc r="E8">
      <v>1870</v>
    </nc>
  </rcc>
  <rfmt sheetId="47" sqref="D6:E21">
    <dxf>
      <alignment vertical="center" readingOrder="0"/>
    </dxf>
  </rfmt>
  <rfmt sheetId="47" sqref="D6:E21" start="0" length="2147483647">
    <dxf>
      <font>
        <b val="0"/>
      </font>
    </dxf>
  </rfmt>
  <rcc rId="13940" sId="47" numFmtId="4">
    <nc r="D9">
      <v>2305</v>
    </nc>
  </rcc>
  <rcc rId="13941" sId="47" numFmtId="4">
    <nc r="E9">
      <v>2150</v>
    </nc>
  </rcc>
  <rcc rId="13942" sId="47" numFmtId="4">
    <nc r="D10">
      <v>3025</v>
    </nc>
  </rcc>
  <rcc rId="13943" sId="47" numFmtId="4">
    <nc r="E10">
      <v>2820</v>
    </nc>
  </rcc>
  <rcc rId="13944" sId="47" numFmtId="4">
    <nc r="D11">
      <v>2960</v>
    </nc>
  </rcc>
  <rcc rId="13945" sId="47" numFmtId="4">
    <nc r="E11">
      <v>3295</v>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8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811.xml><?xml version="1.0" encoding="utf-8"?>
<revisions xmlns="http://schemas.openxmlformats.org/spreadsheetml/2006/main" xmlns:r="http://schemas.openxmlformats.org/officeDocument/2006/relationships">
  <rrc rId="10846" sId="37" ref="A3:XFD3" action="deleteRow">
    <rfmt sheetId="37" xfDxf="1" sqref="A3:XFD3" start="0" length="0"/>
  </rrc>
  <rcc rId="10847" sId="37"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7"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7" sqref="A1:F1" start="0" length="2147483647">
    <dxf>
      <font>
        <sz val="18"/>
      </font>
    </dxf>
  </rfmt>
  <rfmt sheetId="37" sqref="A2:F2">
    <dxf>
      <alignment wrapText="1" readingOrder="0"/>
    </dxf>
  </rfmt>
  <rrc rId="10848" sId="37" ref="A2:XFD2" action="deleteRow">
    <rfmt sheetId="37" xfDxf="1" sqref="A2:XFD2" start="0" length="0"/>
    <rfmt sheetId="37" sqref="A2" start="0" length="0">
      <dxf>
        <alignment vertical="top" wrapText="1" readingOrder="0"/>
      </dxf>
    </rfmt>
    <rfmt sheetId="37" sqref="B2" start="0" length="0">
      <dxf>
        <alignment vertical="top" wrapText="1" readingOrder="0"/>
      </dxf>
    </rfmt>
    <rfmt sheetId="37" sqref="C2" start="0" length="0">
      <dxf>
        <alignment vertical="top" wrapText="1" readingOrder="0"/>
      </dxf>
    </rfmt>
    <rfmt sheetId="37" sqref="D2" start="0" length="0">
      <dxf>
        <alignment vertical="top" wrapText="1" readingOrder="0"/>
      </dxf>
    </rfmt>
    <rfmt sheetId="37" sqref="E2" start="0" length="0">
      <dxf>
        <alignment vertical="top" wrapText="1" readingOrder="0"/>
      </dxf>
    </rfmt>
    <rfmt sheetId="37" sqref="F2" start="0" length="0">
      <dxf>
        <alignment vertical="top" wrapText="1" readingOrder="0"/>
      </dxf>
    </rfmt>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9.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191.xml><?xml version="1.0" encoding="utf-8"?>
<revisions xmlns="http://schemas.openxmlformats.org/spreadsheetml/2006/main" xmlns:r="http://schemas.openxmlformats.org/officeDocument/2006/relationships">
  <ris rId="12729" sheetId="46" name="[ПРАЙС ЦЕНТР-ТИМ 2019 обновленный.xlsx]Лист1" sheetPosition="45"/>
  <rfmt sheetId="46" sqref="A4" start="0" length="0">
    <dxf>
      <font>
        <sz val="8"/>
        <color theme="1"/>
        <name val="Calibri"/>
        <scheme val="minor"/>
      </font>
      <numFmt numFmtId="2" formatCode="0.00"/>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B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C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D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E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F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G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H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I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J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K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L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M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cc rId="12730" sId="46" odxf="1" dxf="1">
    <nc r="A5" t="inlineStr">
      <is>
        <t>№ п/п</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1" sId="46" odxf="1" dxf="1">
    <nc r="B5" t="inlineStr">
      <is>
        <t>категория</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2" sId="46" odxf="1" dxf="1">
    <nc r="C5" t="inlineStr">
      <is>
        <t>наименование</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3" sId="46" odxf="1" dxf="1">
    <nc r="D5" t="inlineStr">
      <is>
        <t>фасовка, кг</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4" sId="46" odxf="1" dxf="1">
    <nc r="E5" t="inlineStr">
      <is>
        <t>самовывоз дилер не ВРН</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5" sId="46" odxf="1" dxf="1">
    <nc r="F5" t="inlineStr">
      <is>
        <t>дилер ВРН /предоплата</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6" sId="46" odxf="1" dxf="1">
    <nc r="G5" t="inlineStr">
      <is>
        <t>самовывоз дилер ВРН</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7" sId="46" odxf="1" dxf="1">
    <nc r="H5" t="inlineStr">
      <is>
        <t xml:space="preserve">входная цена к дилеру </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8" sId="46" odxf="1" dxf="1">
    <nc r="I5" t="inlineStr">
      <is>
        <t xml:space="preserve">оптовик </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39" sId="46" odxf="1" dxf="1">
    <nc r="J5" t="inlineStr">
      <is>
        <t>DIY</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0" sId="46" odxf="1" dxf="1">
    <nc r="K5" t="inlineStr">
      <is>
        <t xml:space="preserve">стройка </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1" sId="46" odxf="1" dxf="1">
    <nc r="L5" t="inlineStr">
      <is>
        <t>вход от дилера в РТТ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4" formatCode="#,##0.0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2" sId="46" odxf="1" dxf="1">
    <nc r="M5" t="inlineStr">
      <is>
        <t>РТТ/полка</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4" formatCode="#,##0.0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3" sId="46" odxf="1" dxf="1">
    <nc r="N5" t="inlineStr">
      <is>
        <t>дилер предоплата+самовывоз не ВРН</t>
      </is>
    </nc>
    <odxf>
      <alignment vertical="bottom" wrapText="0" readingOrder="0"/>
    </odxf>
    <ndxf>
      <alignment vertical="top" wrapText="1" readingOrder="0"/>
    </ndxf>
  </rcc>
  <rfmt sheetId="46" sqref="O5" start="0" length="0">
    <dxf>
      <alignment vertical="top" wrapText="1" readingOrder="0"/>
    </dxf>
  </rfmt>
  <rfmt sheetId="46" sqref="A6" start="0" length="0">
    <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dxf>
  </rfmt>
  <rfmt sheetId="46" sqref="B6" start="0" length="0">
    <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dxf>
  </rfmt>
  <rfmt sheetId="46" sqref="C6" start="0" length="0">
    <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dxf>
  </rfmt>
  <rfmt sheetId="46" sqref="D6" start="0" length="0">
    <dxf>
      <font>
        <b/>
        <sz val="8"/>
        <color theme="1"/>
        <name val="Calibri"/>
        <scheme val="minor"/>
      </font>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dxf>
  </rfmt>
  <rcc rId="12744" sId="46" odxf="1" dxf="1" numFmtId="4">
    <nc r="E6">
      <v>-15</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5" sId="46" odxf="1" dxf="1" numFmtId="13">
    <nc r="F6">
      <v>-0.02</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6" sId="46" odxf="1" dxf="1" numFmtId="4">
    <nc r="G6">
      <v>-6</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7" sId="46" odxf="1" dxf="1" numFmtId="13">
    <nc r="H6">
      <v>0</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8" sId="46" odxf="1" dxf="1" numFmtId="13">
    <nc r="I6">
      <v>0.05</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49" sId="46" odxf="1" dxf="1" numFmtId="13">
    <nc r="J6">
      <v>7.0000000000000007E-2</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50" sId="46" odxf="1" dxf="1" numFmtId="13">
    <nc r="K6">
      <v>0.1</v>
    </nc>
    <odxf>
      <font>
        <b val="0"/>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51" sId="46" odxf="1" s="1" dxf="1" numFmtId="13">
    <nc r="L6">
      <v>0.22</v>
    </nc>
    <odxf>
      <numFmt numFmtId="0" formatCode="General"/>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52" sId="46" odxf="1" s="1" dxf="1" numFmtId="13">
    <nc r="M6">
      <v>0.2</v>
    </nc>
    <odxf>
      <numFmt numFmtId="0" formatCode="General"/>
    </odxf>
    <ndxf>
      <font>
        <b/>
        <sz val="8"/>
        <color theme="1"/>
        <name val="Calibri"/>
        <scheme val="minor"/>
      </font>
      <numFmt numFmtId="13" formatCode="0%"/>
      <fill>
        <patternFill patternType="solid">
          <bgColor theme="0" tint="-0.14999847407452621"/>
        </patternFill>
      </fill>
      <alignment horizontal="center" vertical="top" wrapText="1" readingOrder="0"/>
      <border outline="0">
        <left style="thin">
          <color indexed="64"/>
        </left>
        <right style="thin">
          <color indexed="64"/>
        </right>
        <top style="thin">
          <color indexed="64"/>
        </top>
        <bottom style="thin">
          <color indexed="64"/>
        </bottom>
      </border>
    </ndxf>
  </rcc>
  <rcc rId="12753" sId="46" odxf="1" dxf="1">
    <nc r="A7">
      <v>1</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54" sId="46" odxf="1" dxf="1">
    <nc r="B7" t="inlineStr">
      <is>
        <t>штукатурка гипсовая</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55" sId="46" odxf="1" dxf="1">
    <nc r="C7" t="inlineStr">
      <is>
        <t>Гравитон Штукатурка ручного нанесения (30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56" sId="46" odxf="1" dxf="1">
    <nc r="D7">
      <v>30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57" sId="46" odxf="1" dxf="1" numFmtId="4">
    <nc r="E7">
      <v>184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58" sId="46" odxf="1" dxf="1" numFmtId="4">
    <nc r="F7">
      <v>195.02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759" sId="46" odxf="1" dxf="1" numFmtId="4">
    <nc r="G7">
      <v>193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0" sId="46" odxf="1" dxf="1" numFmtId="4">
    <nc r="H7">
      <v>199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1" sId="46" odxf="1" dxf="1" numFmtId="4">
    <nc r="I7">
      <v>208.95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2" sId="46" odxf="1" dxf="1" numFmtId="4">
    <nc r="J7">
      <v>212.93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3" sId="46" odxf="1" dxf="1" numFmtId="4">
    <nc r="K7">
      <v>218.9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4" sId="46" odxf="1" dxf="1" numFmtId="4">
    <nc r="L7">
      <v>242.78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5" sId="46" odxf="1" dxf="1" numFmtId="4">
    <nc r="M7">
      <v>291.33600000000001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66" sId="46" odxf="1" dxf="1">
    <nc r="N7">
      <f>E7*0.98</f>
    </nc>
    <odxf>
      <numFmt numFmtId="0" formatCode="General"/>
    </odxf>
    <ndxf>
      <numFmt numFmtId="3" formatCode="#,##0"/>
    </ndxf>
  </rcc>
  <rcc rId="12767" sId="46" odxf="1" dxf="1">
    <nc r="O7">
      <f>G7*0.98</f>
    </nc>
    <odxf>
      <numFmt numFmtId="0" formatCode="General"/>
    </odxf>
    <ndxf>
      <numFmt numFmtId="3" formatCode="#,##0"/>
    </ndxf>
  </rcc>
  <rcc rId="12768" sId="46" odxf="1" dxf="1">
    <nc r="A8">
      <v>2</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69" sId="46" odxf="1" dxf="1">
    <nc r="B8" t="inlineStr">
      <is>
        <t>штукатурка гипсовая</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70" sId="46" odxf="1" dxf="1">
    <nc r="C8" t="inlineStr">
      <is>
        <t>Гравитон Штукатурка универсальная (30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71" sId="46" odxf="1" dxf="1">
    <nc r="D8">
      <v>30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72" sId="46" odxf="1" dxf="1" numFmtId="4">
    <nc r="E8">
      <v>175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73" sId="46" odxf="1" dxf="1" numFmtId="4">
    <nc r="F8">
      <v>186.2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774" sId="46" odxf="1" dxf="1" numFmtId="4">
    <nc r="G8">
      <v>184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75" sId="46" odxf="1" dxf="1" numFmtId="4">
    <nc r="H8">
      <v>190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76" sId="46" odxf="1" dxf="1" numFmtId="4">
    <nc r="I8">
      <v>199.5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77" sId="46" odxf="1" dxf="1" numFmtId="4">
    <nc r="J8">
      <v>203.3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78" sId="46" odxf="1" dxf="1" numFmtId="4">
    <nc r="K8">
      <v>209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79" sId="46" odxf="1" dxf="1" numFmtId="4">
    <nc r="L8">
      <v>231.8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80" sId="46" odxf="1" dxf="1" numFmtId="4">
    <nc r="M8">
      <v>278.16000000000003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81" sId="46" odxf="1" dxf="1">
    <nc r="N8">
      <f>E8*0.98</f>
    </nc>
    <odxf>
      <numFmt numFmtId="0" formatCode="General"/>
    </odxf>
    <ndxf>
      <numFmt numFmtId="3" formatCode="#,##0"/>
    </ndxf>
  </rcc>
  <rcc rId="12782" sId="46" odxf="1" dxf="1">
    <nc r="O8">
      <f>G8*0.98</f>
    </nc>
    <odxf>
      <numFmt numFmtId="0" formatCode="General"/>
    </odxf>
    <ndxf>
      <numFmt numFmtId="3" formatCode="#,##0"/>
    </ndxf>
  </rcc>
  <rcc rId="12783" sId="46" odxf="1" dxf="1">
    <nc r="A9">
      <v>3</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84" sId="46" odxf="1" dxf="1">
    <nc r="B9" t="inlineStr">
      <is>
        <t>штукатурка цеметная</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85" sId="46" odxf="1" dxf="1">
    <nc r="C9" t="inlineStr">
      <is>
        <t>Цементная штукатурка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86" sId="46" odxf="1" dxf="1">
    <nc r="D9">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87" sId="46" odxf="1" dxf="1" numFmtId="4">
    <nc r="E9">
      <v>145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88" sId="46" odxf="1" dxf="1" numFmtId="4">
    <nc r="F9">
      <v>156.80000000000001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789" sId="46" odxf="1" dxf="1" numFmtId="4">
    <nc r="G9">
      <v>154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0" sId="46" odxf="1" dxf="1" numFmtId="4">
    <nc r="H9">
      <v>160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1" sId="46" odxf="1" dxf="1" numFmtId="4">
    <nc r="I9">
      <v>168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2" sId="46" odxf="1" dxf="1" numFmtId="4">
    <nc r="J9">
      <v>171.2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3" sId="46" odxf="1" dxf="1" numFmtId="4">
    <nc r="K9">
      <v>176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4" sId="46" odxf="1" dxf="1" numFmtId="4">
    <nc r="L9">
      <v>195.2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5" sId="46" odxf="1" dxf="1" numFmtId="4">
    <nc r="M9">
      <v>234.23999999999998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796" sId="46" odxf="1" dxf="1">
    <nc r="N9">
      <f>E9*0.98</f>
    </nc>
    <odxf>
      <numFmt numFmtId="0" formatCode="General"/>
    </odxf>
    <ndxf>
      <numFmt numFmtId="3" formatCode="#,##0"/>
    </ndxf>
  </rcc>
  <rcc rId="12797" sId="46" odxf="1" dxf="1">
    <nc r="O9">
      <f>G9*0.98</f>
    </nc>
    <odxf>
      <numFmt numFmtId="0" formatCode="General"/>
    </odxf>
    <ndxf>
      <numFmt numFmtId="3" formatCode="#,##0"/>
    </ndxf>
  </rcc>
  <rcc rId="12798" sId="46" odxf="1" dxf="1">
    <nc r="A10">
      <v>4</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799" sId="46" odxf="1" dxf="1">
    <nc r="B10" t="inlineStr">
      <is>
        <t>шпаклевка полимерная</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00" sId="46" odxf="1" dxf="1">
    <nc r="C10" t="inlineStr">
      <is>
        <t>Гравитон шпатлевка полимерная (20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01" sId="46" odxf="1" dxf="1">
    <nc r="D10">
      <v>20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02" sId="46" odxf="1" dxf="1" numFmtId="4">
    <nc r="E10">
      <v>271.88524590163934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03" sId="46" odxf="1" dxf="1" numFmtId="4">
    <nc r="F10">
      <v>281.14754098360652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04" sId="46" odxf="1" dxf="1" numFmtId="4">
    <nc r="G10">
      <v>280.88524590163934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05" sId="46" odxf="1" dxf="1" numFmtId="4">
    <nc r="H10">
      <v>286.88524590163934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06" sId="46" odxf="1" dxf="1" numFmtId="4">
    <nc r="I10">
      <v>301.22950819672133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07" sId="46" odxf="1" dxf="1" numFmtId="4">
    <nc r="J10">
      <v>306.96721311475409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08" sId="46" odxf="1" dxf="1" numFmtId="4">
    <nc r="K10">
      <v>315.57377049180326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09" sId="46" odxf="1" dxf="1" numFmtId="4">
    <nc r="L10">
      <v>350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10" sId="46" odxf="1" dxf="1" numFmtId="4">
    <nc r="M10">
      <v>420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11" sId="46" odxf="1" dxf="1">
    <nc r="N10">
      <f>E10*0.98</f>
    </nc>
    <odxf>
      <numFmt numFmtId="0" formatCode="General"/>
    </odxf>
    <ndxf>
      <numFmt numFmtId="3" formatCode="#,##0"/>
    </ndxf>
  </rcc>
  <rcc rId="12812" sId="46" odxf="1" dxf="1">
    <nc r="O10">
      <f>G10*0.98</f>
    </nc>
    <odxf>
      <numFmt numFmtId="0" formatCode="General"/>
    </odxf>
    <ndxf>
      <numFmt numFmtId="3" formatCode="#,##0"/>
    </ndxf>
  </rcc>
  <rcc rId="12813" sId="46" odxf="1" dxf="1">
    <nc r="A11">
      <v>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14" sId="46" odxf="1" dxf="1">
    <nc r="B11" t="inlineStr">
      <is>
        <t>шпаклевка гипсовая</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15" sId="46" odxf="1" dxf="1">
    <nc r="C11" t="inlineStr">
      <is>
        <t>Гравитон шпатлевка гипсовая (20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16" sId="46" odxf="1" dxf="1">
    <nc r="D11">
      <v>20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17" sId="46" odxf="1" dxf="1" numFmtId="4">
    <nc r="E11">
      <v>189.91803278688525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18" sId="46" odxf="1" dxf="1" numFmtId="4">
    <nc r="F11">
      <v>200.81967213114754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19" sId="46" odxf="1" dxf="1" numFmtId="4">
    <nc r="G11">
      <v>198.91803278688525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0" sId="46" odxf="1" dxf="1" numFmtId="4">
    <nc r="H11">
      <v>204.91803278688525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1" sId="46" odxf="1" dxf="1" numFmtId="4">
    <nc r="I11">
      <v>215.1639344262295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2" sId="46" odxf="1" dxf="1" numFmtId="4">
    <nc r="J11">
      <v>219.26229508196721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3" sId="46" odxf="1" dxf="1" numFmtId="4">
    <nc r="K11">
      <v>225.40983606557378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4" sId="46" odxf="1" dxf="1" numFmtId="4">
    <nc r="L11">
      <v>250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5" sId="46" odxf="1" dxf="1" numFmtId="4">
    <nc r="M11">
      <v>300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26" sId="46" odxf="1" dxf="1">
    <nc r="N11">
      <f>E11*0.98</f>
    </nc>
    <odxf>
      <numFmt numFmtId="0" formatCode="General"/>
    </odxf>
    <ndxf>
      <numFmt numFmtId="3" formatCode="#,##0"/>
    </ndxf>
  </rcc>
  <rcc rId="12827" sId="46" odxf="1" dxf="1">
    <nc r="O11">
      <f>G11*0.98</f>
    </nc>
    <odxf>
      <numFmt numFmtId="0" formatCode="General"/>
    </odxf>
    <ndxf>
      <numFmt numFmtId="3" formatCode="#,##0"/>
    </ndxf>
  </rcc>
  <rcc rId="12828" sId="46" odxf="1" dxf="1">
    <nc r="A12">
      <v>6</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29" sId="46" odxf="1" dxf="1">
    <nc r="B12" t="inlineStr">
      <is>
        <t>пол наливной</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30" sId="46" odxf="1" dxf="1">
    <nc r="C12" t="inlineStr">
      <is>
        <t>999 Нивелир Ультра наливной пол (20кг)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31" sId="46" odxf="1" dxf="1">
    <nc r="D12">
      <v>20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32" sId="46" odxf="1" dxf="1" numFmtId="4">
    <nc r="E12">
      <v>189.91803278688525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33" sId="46" odxf="1" dxf="1" numFmtId="4">
    <nc r="F12">
      <v>200.81967213114754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34" sId="46" odxf="1" dxf="1" numFmtId="4">
    <nc r="G12">
      <v>198.91803278688525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35" sId="46" odxf="1" dxf="1" numFmtId="4">
    <nc r="H12">
      <v>204.91803278688525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36" sId="46" odxf="1" dxf="1" numFmtId="4">
    <nc r="I12">
      <v>215.1639344262295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37" sId="46" odxf="1" dxf="1" numFmtId="4">
    <nc r="J12">
      <v>219.26229508196721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38" sId="46" odxf="1" dxf="1" numFmtId="4">
    <nc r="K12">
      <v>225.40983606557378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39" sId="46" odxf="1" dxf="1" numFmtId="4">
    <nc r="L12">
      <v>250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40" sId="46" odxf="1" dxf="1" numFmtId="4">
    <nc r="M12">
      <v>300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41" sId="46" odxf="1" dxf="1">
    <nc r="N12">
      <f>E12*0.98</f>
    </nc>
    <odxf>
      <numFmt numFmtId="0" formatCode="General"/>
    </odxf>
    <ndxf>
      <numFmt numFmtId="3" formatCode="#,##0"/>
    </ndxf>
  </rcc>
  <rcc rId="12842" sId="46" odxf="1" dxf="1">
    <nc r="O12">
      <f>G12*0.98</f>
    </nc>
    <odxf>
      <numFmt numFmtId="0" formatCode="General"/>
    </odxf>
    <ndxf>
      <numFmt numFmtId="3" formatCode="#,##0"/>
    </ndxf>
  </rcc>
  <rcc rId="12843" sId="46" odxf="1" dxf="1">
    <nc r="A13">
      <v>7</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44" sId="46" odxf="1" dxf="1">
    <nc r="B13" t="inlineStr">
      <is>
        <t>пол наливной</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45" sId="46" odxf="1" dxf="1">
    <nc r="C13" t="inlineStr">
      <is>
        <t>Гравитон Экопол № 2  гипсовый пол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46" sId="46" odxf="1" dxf="1">
    <nc r="D13">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47" sId="46" odxf="1" dxf="1" numFmtId="4">
    <nc r="E13">
      <v>189.91803278688525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48" sId="46" odxf="1" dxf="1" numFmtId="4">
    <nc r="F13">
      <v>200.81967213114754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49" sId="46" odxf="1" dxf="1" numFmtId="4">
    <nc r="G13">
      <v>198.91803278688525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0" sId="46" odxf="1" dxf="1" numFmtId="4">
    <nc r="H13">
      <v>204.91803278688525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1" sId="46" odxf="1" dxf="1" numFmtId="4">
    <nc r="I13">
      <v>215.1639344262295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2" sId="46" odxf="1" dxf="1" numFmtId="4">
    <nc r="J13">
      <v>219.26229508196721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3" sId="46" odxf="1" dxf="1" numFmtId="4">
    <nc r="K13">
      <v>225.40983606557378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4" sId="46" odxf="1" dxf="1" numFmtId="4">
    <nc r="L13">
      <v>250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5" sId="46" odxf="1" dxf="1" numFmtId="4">
    <nc r="M13">
      <v>300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56" sId="46" odxf="1" dxf="1">
    <nc r="N13">
      <f>E13*0.98</f>
    </nc>
    <odxf>
      <numFmt numFmtId="0" formatCode="General"/>
    </odxf>
    <ndxf>
      <numFmt numFmtId="3" formatCode="#,##0"/>
    </ndxf>
  </rcc>
  <rcc rId="12857" sId="46" odxf="1" dxf="1">
    <nc r="O13">
      <f>G13*0.98</f>
    </nc>
    <odxf>
      <numFmt numFmtId="0" formatCode="General"/>
    </odxf>
    <ndxf>
      <numFmt numFmtId="3" formatCode="#,##0"/>
    </ndxf>
  </rcc>
  <rcc rId="12858" sId="46" odxf="1" dxf="1">
    <nc r="A14">
      <v>8</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59" sId="46" odxf="1" dxf="1">
    <nc r="B14" t="inlineStr">
      <is>
        <t>клей плиточный</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60" sId="46" odxf="1" dxf="1">
    <nc r="C14" t="inlineStr">
      <is>
        <t>КЭ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61" sId="46" odxf="1" dxf="1">
    <nc r="D14">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62" sId="46" odxf="1" dxf="1" numFmtId="4">
    <nc r="E14">
      <v>111.36612021857925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63" sId="46" odxf="1" dxf="1" numFmtId="4">
    <nc r="F14">
      <v>123.83879781420767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64" sId="46" odxf="1" dxf="1" numFmtId="4">
    <nc r="G14">
      <v>120.36612021857925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65" sId="46" odxf="1" dxf="1" numFmtId="4">
    <nc r="H14">
      <v>126.36612021857925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66" sId="46" odxf="1" dxf="1" numFmtId="4">
    <nc r="I14">
      <v>132.6844262295082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67" sId="46" odxf="1" dxf="1" numFmtId="4">
    <nc r="J14">
      <v>135.21174863387981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68" sId="46" odxf="1" dxf="1" numFmtId="4">
    <nc r="K14">
      <v>139.00273224043718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69" sId="46" odxf="1" dxf="1" numFmtId="4">
    <nc r="L14">
      <v>154.16666666666669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70" sId="46" odxf="1" dxf="1" numFmtId="4">
    <nc r="M14">
      <v>185.00000000000003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71" sId="46" odxf="1" dxf="1">
    <nc r="N14">
      <f>E14*0.98</f>
    </nc>
    <odxf>
      <numFmt numFmtId="0" formatCode="General"/>
    </odxf>
    <ndxf>
      <numFmt numFmtId="3" formatCode="#,##0"/>
    </ndxf>
  </rcc>
  <rcc rId="12872" sId="46" odxf="1" dxf="1">
    <nc r="O14">
      <f>G14*0.98</f>
    </nc>
    <odxf>
      <numFmt numFmtId="0" formatCode="General"/>
    </odxf>
    <ndxf>
      <numFmt numFmtId="3" formatCode="#,##0"/>
    </ndxf>
  </rcc>
  <rcc rId="12873" sId="46" odxf="1" dxf="1">
    <nc r="A15">
      <v>9</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74" sId="46" odxf="1" dxf="1">
    <nc r="B15" t="inlineStr">
      <is>
        <t>клей плиточный</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75" sId="46" odxf="1" dxf="1">
    <nc r="C15" t="inlineStr">
      <is>
        <t>КС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76" sId="46" odxf="1" dxf="1">
    <nc r="D15">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77" sId="46" odxf="1" dxf="1" numFmtId="4">
    <nc r="E15">
      <v>153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78" sId="46" odxf="1" dxf="1" numFmtId="4">
    <nc r="F15">
      <v>164.64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79" sId="46" odxf="1" dxf="1" numFmtId="4">
    <nc r="G15">
      <v>162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0" sId="46" odxf="1" dxf="1" numFmtId="4">
    <nc r="H15">
      <v>168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1" sId="46" odxf="1" dxf="1" numFmtId="4">
    <nc r="I15">
      <v>176.4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2" sId="46" odxf="1" dxf="1" numFmtId="4">
    <nc r="J15">
      <v>179.76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3" sId="46" odxf="1" dxf="1" numFmtId="4">
    <nc r="K15">
      <v>184.8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4" sId="46" odxf="1" dxf="1" numFmtId="4">
    <nc r="L15">
      <v>204.96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5" sId="46" odxf="1" dxf="1" numFmtId="4">
    <nc r="M15">
      <v>245.952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86" sId="46" odxf="1" dxf="1">
    <nc r="N15">
      <f>E15*0.98</f>
    </nc>
    <odxf>
      <numFmt numFmtId="0" formatCode="General"/>
    </odxf>
    <ndxf>
      <numFmt numFmtId="3" formatCode="#,##0"/>
    </ndxf>
  </rcc>
  <rcc rId="12887" sId="46" odxf="1" dxf="1">
    <nc r="O15">
      <f>G15*0.98</f>
    </nc>
    <odxf>
      <numFmt numFmtId="0" formatCode="General"/>
    </odxf>
    <ndxf>
      <numFmt numFmtId="3" formatCode="#,##0"/>
    </ndxf>
  </rcc>
  <rcc rId="12888" sId="46" odxf="1" dxf="1">
    <nc r="A16">
      <v>10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89" sId="46" odxf="1" dxf="1">
    <nc r="B16" t="inlineStr">
      <is>
        <t>клей плиточный</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90" sId="46" odxf="1" dxf="1">
    <nc r="C16" t="inlineStr">
      <is>
        <t>Гравитон Клей Оптимальный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91" sId="46" odxf="1" dxf="1">
    <nc r="D16">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892" sId="46" odxf="1" dxf="1" numFmtId="4">
    <nc r="E16">
      <v>224.07103825136613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93" sId="46" odxf="1" dxf="1" numFmtId="4">
    <nc r="F16">
      <v>234.28961748633881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894" sId="46" odxf="1" dxf="1" numFmtId="4">
    <nc r="G16">
      <v>233.07103825136613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95" sId="46" odxf="1" dxf="1" numFmtId="4">
    <nc r="H16">
      <v>239.07103825136613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96" sId="46" odxf="1" dxf="1" numFmtId="4">
    <nc r="I16">
      <v>251.02459016393445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97" sId="46" odxf="1" dxf="1" numFmtId="4">
    <nc r="J16">
      <v>255.80601092896177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98" sId="46" odxf="1" dxf="1" numFmtId="4">
    <nc r="K16">
      <v>262.97814207650276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899" sId="46" odxf="1" dxf="1" numFmtId="4">
    <nc r="L16">
      <v>291.66666666666669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00" sId="46" odxf="1" dxf="1" numFmtId="4">
    <nc r="M16">
      <v>350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01" sId="46" odxf="1" dxf="1">
    <nc r="N16">
      <f>E16*0.98</f>
    </nc>
    <odxf>
      <numFmt numFmtId="0" formatCode="General"/>
    </odxf>
    <ndxf>
      <numFmt numFmtId="3" formatCode="#,##0"/>
    </ndxf>
  </rcc>
  <rcc rId="12902" sId="46" odxf="1" dxf="1">
    <nc r="O16">
      <f>G16*0.98</f>
    </nc>
    <odxf>
      <numFmt numFmtId="0" formatCode="General"/>
    </odxf>
    <ndxf>
      <numFmt numFmtId="3" formatCode="#,##0"/>
    </ndxf>
  </rcc>
  <rcc rId="12903" sId="46" odxf="1" dxf="1">
    <nc r="A17">
      <v>11</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04" sId="46" odxf="1" dxf="1">
    <nc r="B17" t="inlineStr">
      <is>
        <t>монтажно-кладочная смесь</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05" sId="46" odxf="1" dxf="1">
    <nc r="C17" t="inlineStr">
      <is>
        <t>ГСБ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06" sId="46" odxf="1" dxf="1">
    <nc r="D17">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07" sId="46" odxf="1" dxf="1" numFmtId="4">
    <nc r="E17">
      <v>121.61202185792351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08" sId="46" odxf="1" dxf="1" numFmtId="4">
    <nc r="F17">
      <v>133.87978142076503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09" sId="46" odxf="1" dxf="1" numFmtId="4">
    <nc r="G17">
      <v>130.61202185792351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0" sId="46" odxf="1" dxf="1" numFmtId="4">
    <nc r="H17">
      <v>136.61202185792351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1" sId="46" odxf="1" dxf="1" numFmtId="4">
    <nc r="I17">
      <v>143.4426229508197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2" sId="46" odxf="1" dxf="1" numFmtId="4">
    <nc r="J17">
      <v>146.17486338797815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3" sId="46" odxf="1" dxf="1" numFmtId="4">
    <nc r="K17">
      <v>150.27322404371586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4" sId="46" odxf="1" dxf="1" numFmtId="4">
    <nc r="L17">
      <v>166.66666666666669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5" sId="46" odxf="1" dxf="1" numFmtId="4">
    <nc r="M17">
      <v>200.00000000000003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16" sId="46" odxf="1" dxf="1">
    <nc r="N17">
      <f>E17*0.98</f>
    </nc>
    <odxf>
      <numFmt numFmtId="0" formatCode="General"/>
    </odxf>
    <ndxf>
      <numFmt numFmtId="3" formatCode="#,##0"/>
    </ndxf>
  </rcc>
  <rcc rId="12917" sId="46" odxf="1" dxf="1">
    <nc r="O17">
      <f>G17*0.98</f>
    </nc>
    <odxf>
      <numFmt numFmtId="0" formatCode="General"/>
    </odxf>
    <ndxf>
      <numFmt numFmtId="3" formatCode="#,##0"/>
    </ndxf>
  </rcc>
  <rcc rId="12918" sId="46" odxf="1" dxf="1">
    <nc r="A18">
      <v>12</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19" sId="46" odxf="1" dxf="1">
    <nc r="B18" t="inlineStr">
      <is>
        <t>монтажно-кладочная смесь</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20" sId="46" odxf="1" dxf="1">
    <nc r="C18" t="inlineStr">
      <is>
        <t>КГБ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21" sId="46" odxf="1" dxf="1">
    <nc r="D18">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22" sId="46" odxf="1" dxf="1" numFmtId="4">
    <nc r="E18">
      <v>141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23" sId="46" odxf="1" dxf="1" numFmtId="4">
    <nc r="F18">
      <v>152.88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24" sId="46" odxf="1" dxf="1" numFmtId="4">
    <nc r="G18">
      <v>150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25" sId="46" odxf="1" dxf="1" numFmtId="4">
    <nc r="H18">
      <v>156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26" sId="46" odxf="1" dxf="1" numFmtId="4">
    <nc r="I18">
      <v>163.80000000000001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27" sId="46" odxf="1" dxf="1" numFmtId="4">
    <nc r="J18">
      <v>166.92000000000002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28" sId="46" odxf="1" dxf="1" numFmtId="4">
    <nc r="K18">
      <v>171.6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29" sId="46" odxf="1" dxf="1" numFmtId="4">
    <nc r="L18">
      <v>190.32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30" sId="46" odxf="1" dxf="1" numFmtId="4">
    <nc r="M18">
      <v>228.38399999999999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31" sId="46" odxf="1" dxf="1">
    <nc r="N18">
      <f>E18*0.98</f>
    </nc>
    <odxf>
      <numFmt numFmtId="0" formatCode="General"/>
    </odxf>
    <ndxf>
      <numFmt numFmtId="3" formatCode="#,##0"/>
    </ndxf>
  </rcc>
  <rcc rId="12932" sId="46" odxf="1" dxf="1">
    <nc r="O18">
      <f>G18*0.98</f>
    </nc>
    <odxf>
      <numFmt numFmtId="0" formatCode="General"/>
    </odxf>
    <ndxf>
      <numFmt numFmtId="3" formatCode="#,##0"/>
    </ndxf>
  </rcc>
  <rcc rId="12933" sId="46" odxf="1" dxf="1">
    <nc r="A19">
      <v>13</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34" sId="46" odxf="1" dxf="1">
    <nc r="B19" t="inlineStr">
      <is>
        <t>монтажно-кладочная смесь</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35" sId="46" odxf="1" dxf="1">
    <nc r="C19" t="inlineStr">
      <is>
        <t>КФ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36" sId="46" odxf="1" dxf="1">
    <nc r="D19">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37" sId="46" odxf="1" dxf="1" numFmtId="4">
    <nc r="E19">
      <v>275.30054644808746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38" sId="46" odxf="1" dxf="1" numFmtId="4">
    <nc r="F19">
      <v>284.49453551912569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39" sId="46" odxf="1" dxf="1" numFmtId="4">
    <nc r="G19">
      <v>284.30054644808746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0" sId="46" odxf="1" dxf="1" numFmtId="4">
    <nc r="H19">
      <v>290.30054644808746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1" sId="46" odxf="1" dxf="1" numFmtId="4">
    <nc r="I19">
      <v>304.81557377049182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2" sId="46" odxf="1" dxf="1" numFmtId="4">
    <nc r="J19">
      <v>310.62158469945359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3" sId="46" odxf="1" dxf="1" numFmtId="4">
    <nc r="K19">
      <v>319.33060109289619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4" sId="46" odxf="1" dxf="1" numFmtId="4">
    <nc r="L19">
      <v>354.16666666666669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5" sId="46" odxf="1" dxf="1" numFmtId="4">
    <nc r="M19">
      <v>425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46" sId="46" odxf="1" dxf="1">
    <nc r="N19">
      <f>E19*0.98</f>
    </nc>
    <odxf>
      <numFmt numFmtId="0" formatCode="General"/>
    </odxf>
    <ndxf>
      <numFmt numFmtId="3" formatCode="#,##0"/>
    </ndxf>
  </rcc>
  <rcc rId="12947" sId="46" odxf="1" dxf="1">
    <nc r="O19">
      <f>G19*0.98</f>
    </nc>
    <odxf>
      <numFmt numFmtId="0" formatCode="General"/>
    </odxf>
    <ndxf>
      <numFmt numFmtId="3" formatCode="#,##0"/>
    </ndxf>
  </rcc>
  <rcc rId="12948" sId="46" odxf="1" dxf="1">
    <nc r="A20">
      <v>14</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49" sId="46" odxf="1" dxf="1">
    <nc r="B20" t="inlineStr">
      <is>
        <t>Гарцовки</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50" sId="46" odxf="1" dxf="1">
    <nc r="C20" t="inlineStr">
      <is>
        <t>М-150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51" sId="46" odxf="1" dxf="1">
    <nc r="D20">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52" sId="46" odxf="1" dxf="1" numFmtId="4">
    <nc r="E20">
      <v>66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53" sId="46" odxf="1" dxf="1" numFmtId="4">
    <nc r="F20">
      <v>79.38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54" sId="46" odxf="1" dxf="1" numFmtId="4">
    <nc r="G20">
      <v>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55" sId="46" odxf="1" dxf="1" numFmtId="4">
    <nc r="H20">
      <v>81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56" sId="46" odxf="1" dxf="1" numFmtId="4">
    <nc r="I20">
      <v>85.05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57" sId="46" odxf="1" dxf="1" numFmtId="4">
    <nc r="J20">
      <v>86.67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58" sId="46" odxf="1" dxf="1" numFmtId="4">
    <nc r="K20">
      <v>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59" sId="46" odxf="1" dxf="1" numFmtId="4">
    <nc r="L20">
      <v>98.82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60" sId="46" odxf="1" dxf="1" numFmtId="4">
    <nc r="M20">
      <v>118.58399999999999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61" sId="46" odxf="1" dxf="1">
    <nc r="N20">
      <f>E20*0.98</f>
    </nc>
    <odxf>
      <numFmt numFmtId="0" formatCode="General"/>
    </odxf>
    <ndxf>
      <numFmt numFmtId="3" formatCode="#,##0"/>
    </ndxf>
  </rcc>
  <rcc rId="12962" sId="46" odxf="1" dxf="1">
    <nc r="O20">
      <f>G20*0.98</f>
    </nc>
    <odxf>
      <numFmt numFmtId="0" formatCode="General"/>
    </odxf>
    <ndxf>
      <numFmt numFmtId="3" formatCode="#,##0"/>
    </ndxf>
  </rcc>
  <rcc rId="12963" sId="46" odxf="1" dxf="1">
    <nc r="A21">
      <v>15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64" sId="46" odxf="1" dxf="1">
    <nc r="B21" t="inlineStr">
      <is>
        <t>Гарцовки</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65" sId="46" odxf="1" dxf="1">
    <nc r="C21" t="inlineStr">
      <is>
        <t>М-150 (40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66" sId="46" odxf="1" dxf="1">
    <nc r="D21">
      <v>40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67" sId="46" odxf="1" dxf="1" numFmtId="4">
    <nc r="E21">
      <v>101.12021857923499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68" sId="46" odxf="1" dxf="1" numFmtId="4">
    <nc r="F21">
      <v>113.79781420765029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69" sId="46" odxf="1" dxf="1" numFmtId="4">
    <nc r="G21">
      <v>110.12021857923499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0" sId="46" odxf="1" dxf="1" numFmtId="4">
    <nc r="H21">
      <v>116.12021857923499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1" sId="46" odxf="1" dxf="1" numFmtId="4">
    <nc r="I21">
      <v>121.92622950819674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2" sId="46" odxf="1" dxf="1" numFmtId="4">
    <nc r="J21">
      <v>124.24863387978144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3" sId="46" odxf="1" dxf="1" numFmtId="4">
    <nc r="K21">
      <v>127.73224043715848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4" sId="46" odxf="1" dxf="1" numFmtId="4">
    <nc r="L21">
      <v>141.66666666666669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5" sId="46" odxf="1" dxf="1" numFmtId="4">
    <nc r="M21">
      <v>170.00000000000003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76" sId="46" odxf="1" dxf="1">
    <nc r="N21">
      <f>E21*0.98</f>
    </nc>
    <odxf>
      <numFmt numFmtId="0" formatCode="General"/>
    </odxf>
    <ndxf>
      <numFmt numFmtId="3" formatCode="#,##0"/>
    </ndxf>
  </rcc>
  <rcc rId="12977" sId="46" odxf="1" dxf="1">
    <nc r="O21">
      <f>G21*0.98</f>
    </nc>
    <odxf>
      <numFmt numFmtId="0" formatCode="General"/>
    </odxf>
    <ndxf>
      <numFmt numFmtId="3" formatCode="#,##0"/>
    </ndxf>
  </rcc>
  <rcc rId="12978" sId="46" odxf="1" dxf="1">
    <nc r="A22">
      <v>16</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79" sId="46" odxf="1" dxf="1">
    <nc r="B22" t="inlineStr">
      <is>
        <t>гарцовки</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80" sId="46" odxf="1" dxf="1">
    <nc r="C22" t="inlineStr">
      <is>
        <t>М-300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81" sId="46" odxf="1" dxf="1">
    <nc r="D22">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82" sId="46" odxf="1" dxf="1" numFmtId="4">
    <nc r="E22">
      <v>83.484848484848484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83" sId="46" odxf="1" dxf="1" numFmtId="4">
    <nc r="F22">
      <v>96.515151515151516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84" sId="46" odxf="1" dxf="1" numFmtId="4">
    <nc r="G22">
      <v>92.484848484848484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85" sId="46" odxf="1" dxf="1" numFmtId="4">
    <nc r="H22">
      <v>98.484848484848484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86" sId="46" odxf="1" dxf="1" numFmtId="4">
    <nc r="I22">
      <v>103.40909090909091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87" sId="46" odxf="1" dxf="1" numFmtId="4">
    <nc r="J22">
      <v>105.37878787878788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88" sId="46" odxf="1" dxf="1" numFmtId="4">
    <nc r="K22">
      <v>108.33333333333333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89" sId="46" odxf="1" dxf="1" numFmtId="4">
    <nc r="L22">
      <v>120.15151515151516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90" sId="46" odxf="1" dxf="1" numFmtId="4">
    <nc r="M22">
      <v>144.18181818181819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91" sId="46" odxf="1" dxf="1">
    <nc r="N22">
      <f>E22*0.98</f>
    </nc>
    <odxf>
      <numFmt numFmtId="0" formatCode="General"/>
    </odxf>
    <ndxf>
      <numFmt numFmtId="3" formatCode="#,##0"/>
    </ndxf>
  </rcc>
  <rcc rId="12992" sId="46" odxf="1" dxf="1">
    <nc r="O22">
      <f>G22*0.98</f>
    </nc>
    <odxf>
      <numFmt numFmtId="0" formatCode="General"/>
    </odxf>
    <ndxf>
      <numFmt numFmtId="3" formatCode="#,##0"/>
    </ndxf>
  </rcc>
  <rcc rId="12993" sId="46" odxf="1" dxf="1">
    <nc r="A23">
      <v>17</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94" sId="46" odxf="1" dxf="1">
    <nc r="B23" t="inlineStr">
      <is>
        <t>гарцовки</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95" sId="46" odxf="1" dxf="1">
    <nc r="C23" t="inlineStr">
      <is>
        <t>М-300 (40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96" sId="46" odxf="1" dxf="1">
    <nc r="D23">
      <v>40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2997" sId="46" odxf="1" dxf="1" numFmtId="4">
    <nc r="E23">
      <v>119.12816691505216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2998" sId="46" odxf="1" dxf="1" numFmtId="4">
    <nc r="F23">
      <v>131.44560357675113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2999" sId="46" odxf="1" dxf="1" numFmtId="4">
    <nc r="G23">
      <v>128.12816691505216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0" sId="46" odxf="1" dxf="1" numFmtId="4">
    <nc r="H23">
      <v>134.12816691505216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1" sId="46" odxf="1" dxf="1" numFmtId="4">
    <nc r="I23">
      <v>140.83457526080477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2" sId="46" odxf="1" dxf="1" numFmtId="4">
    <nc r="J23">
      <v>143.51713859910581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3" sId="46" odxf="1" dxf="1" numFmtId="4">
    <nc r="K23">
      <v>147.54098360655738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4" sId="46" odxf="1" dxf="1" numFmtId="4">
    <nc r="L23">
      <v>163.63636363636363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5" sId="46" odxf="1" dxf="1" numFmtId="4">
    <nc r="M23">
      <v>196.36363636363635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06" sId="46" odxf="1" dxf="1">
    <nc r="N23">
      <f>E23*0.98</f>
    </nc>
    <odxf>
      <numFmt numFmtId="0" formatCode="General"/>
    </odxf>
    <ndxf>
      <numFmt numFmtId="3" formatCode="#,##0"/>
    </ndxf>
  </rcc>
  <rcc rId="13007" sId="46" odxf="1" dxf="1">
    <nc r="O23">
      <f>G23*0.98</f>
    </nc>
    <odxf>
      <numFmt numFmtId="0" formatCode="General"/>
    </odxf>
    <ndxf>
      <numFmt numFmtId="3" formatCode="#,##0"/>
    </ndxf>
  </rcc>
  <rcc rId="13008" sId="46" odxf="1" dxf="1">
    <nc r="A24">
      <v>18</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09" sId="46" odxf="1" dxf="1">
    <nc r="B24" t="inlineStr">
      <is>
        <t>штукатурка</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010" sId="46" odxf="1" dxf="1">
    <nc r="C24" t="inlineStr">
      <is>
        <t>Гравитон Штукатурка машинного нанесения (30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011" sId="46" odxf="1" dxf="1">
    <nc r="D24">
      <v>30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12" sId="46" odxf="1" dxf="1" numFmtId="4">
    <nc r="E24">
      <v>175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13" sId="46" odxf="1" dxf="1" numFmtId="4">
    <nc r="F24">
      <v>186.2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014" sId="46" odxf="1" dxf="1" numFmtId="4">
    <nc r="G24">
      <v>184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15" sId="46" odxf="1" dxf="1" numFmtId="4">
    <nc r="H24">
      <v>190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16" sId="46" odxf="1" dxf="1" numFmtId="4">
    <nc r="I24">
      <v>199.5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17" sId="46" odxf="1" dxf="1" numFmtId="4">
    <nc r="J24">
      <v>203.3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18" sId="46" odxf="1" dxf="1" numFmtId="4">
    <nc r="K24">
      <v>209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19" sId="46" odxf="1" dxf="1" numFmtId="4">
    <nc r="L24">
      <v>231.8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20" sId="46" odxf="1" dxf="1" numFmtId="4">
    <nc r="M24">
      <v>278.16000000000003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21" sId="46" odxf="1" dxf="1">
    <nc r="N24">
      <f>E24*0.98</f>
    </nc>
    <odxf>
      <numFmt numFmtId="0" formatCode="General"/>
    </odxf>
    <ndxf>
      <numFmt numFmtId="3" formatCode="#,##0"/>
    </ndxf>
  </rcc>
  <rcc rId="13022" sId="46" odxf="1" dxf="1">
    <nc r="O24">
      <f>G24*0.98</f>
    </nc>
    <odxf>
      <numFmt numFmtId="0" formatCode="General"/>
    </odxf>
    <ndxf>
      <numFmt numFmtId="3" formatCode="#,##0"/>
    </ndxf>
  </rcc>
  <rcc rId="13023" sId="46" odxf="1" dxf="1">
    <nc r="A25">
      <v>19</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24" sId="46" odxf="1" dxf="1">
    <nc r="B25" t="inlineStr">
      <is>
        <t>монтажно-кладочная смесь</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25" sId="46" odxf="1" dxf="1">
    <nc r="C25" t="inlineStr">
      <is>
        <t>ГСБ с ПМД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26" sId="46" odxf="1" dxf="1">
    <nc r="D25">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27" sId="46" odxf="1" dxf="1" numFmtId="4">
    <nc r="E25">
      <v>128.4426229508197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28" sId="46" odxf="1" dxf="1" numFmtId="4">
    <nc r="F25">
      <v>140.57377049180329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029" sId="46" odxf="1" dxf="1" numFmtId="4">
    <nc r="G25">
      <v>137.4426229508197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0" sId="46" odxf="1" dxf="1" numFmtId="4">
    <nc r="H25">
      <v>143.4426229508197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1" sId="46" odxf="1" dxf="1" numFmtId="4">
    <nc r="I25">
      <v>150.61475409836069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2" sId="46" odxf="1" dxf="1" numFmtId="4">
    <nc r="J25">
      <v>153.48360655737707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3" sId="46" odxf="1" dxf="1" numFmtId="4">
    <nc r="K25">
      <v>157.78688524590166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4" sId="46" odxf="1" dxf="1" numFmtId="4">
    <nc r="L25">
      <v>175.00000000000003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5" sId="46" odxf="1" dxf="1" numFmtId="4">
    <nc r="M25">
      <v>210.00000000000003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36" sId="46" odxf="1" dxf="1">
    <nc r="N25">
      <f>E25*0.98</f>
    </nc>
    <odxf>
      <numFmt numFmtId="0" formatCode="General"/>
    </odxf>
    <ndxf>
      <numFmt numFmtId="3" formatCode="#,##0"/>
    </ndxf>
  </rcc>
  <rcc rId="13037" sId="46" odxf="1" dxf="1">
    <nc r="O25">
      <f>G25*0.98</f>
    </nc>
    <odxf>
      <numFmt numFmtId="0" formatCode="General"/>
    </odxf>
    <ndxf>
      <numFmt numFmtId="3" formatCode="#,##0"/>
    </ndxf>
  </rcc>
  <rcc rId="13038" sId="46" odxf="1" dxf="1">
    <nc r="A26">
      <v>20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39" sId="46" odxf="1" dxf="1">
    <nc r="B26" t="inlineStr">
      <is>
        <t>монтажно-кладочная смесь</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40" sId="46" odxf="1" dxf="1">
    <nc r="C26" t="inlineStr">
      <is>
        <t>КГБ с ПМД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41" sId="46" odxf="1" dxf="1">
    <nc r="D26">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42" sId="46" odxf="1" dxf="1" numFmtId="4">
    <nc r="E26">
      <v>155.3381147540984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43" sId="46" odxf="1" dxf="1" numFmtId="4">
    <nc r="F26">
      <v>166.93135245901644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044" sId="46" odxf="1" dxf="1" numFmtId="4">
    <nc r="G26">
      <v>164.3381147540984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45" sId="46" odxf="1" dxf="1" numFmtId="4">
    <nc r="H26">
      <v>170.3381147540984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46" sId="46" odxf="1" dxf="1" numFmtId="4">
    <nc r="I26">
      <v>178.85502049180332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47" sId="46" odxf="1" dxf="1" numFmtId="4">
    <nc r="J26">
      <v>182.26178278688528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48" sId="46" odxf="1" dxf="1" numFmtId="4">
    <nc r="K26">
      <v>187.37192622950823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49" sId="46" odxf="1" dxf="1" numFmtId="4">
    <nc r="L26">
      <v>207.81250000000006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50" sId="46" odxf="1" dxf="1" numFmtId="4">
    <nc r="M26">
      <v>249.37500000000006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51" sId="46" odxf="1" dxf="1">
    <nc r="N26">
      <f>E26*0.98</f>
    </nc>
    <odxf>
      <numFmt numFmtId="0" formatCode="General"/>
    </odxf>
    <ndxf>
      <numFmt numFmtId="3" formatCode="#,##0"/>
    </ndxf>
  </rcc>
  <rcc rId="13052" sId="46" odxf="1" dxf="1">
    <nc r="O26">
      <f>G26*0.98</f>
    </nc>
    <odxf>
      <numFmt numFmtId="0" formatCode="General"/>
    </odxf>
    <ndxf>
      <numFmt numFmtId="3" formatCode="#,##0"/>
    </ndxf>
  </rcc>
  <rcc rId="13053" sId="46" odxf="1" dxf="1">
    <nc r="A27">
      <v>21</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54" sId="46" odxf="1" dxf="1">
    <nc r="B27" t="inlineStr">
      <is>
        <t>монтажно-кладочная смесь</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55" sId="46" odxf="1" dxf="1">
    <nc r="C27" t="inlineStr">
      <is>
        <t>КФ с ПМД (25 кг)</t>
      </is>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56" sId="46" odxf="1" dxf="1">
    <nc r="D27">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57" sId="46" odxf="1" dxf="1" numFmtId="4">
    <nc r="E27">
      <v>304.33060109289619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58" sId="46" odxf="1" dxf="1" numFmtId="4">
    <nc r="F27">
      <v>312.94398907103823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059" sId="46" odxf="1" dxf="1" numFmtId="4">
    <nc r="G27">
      <v>313.33060109289619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0" sId="46" odxf="1" dxf="1" numFmtId="4">
    <nc r="H27">
      <v>319.33060109289619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1" sId="46" odxf="1" dxf="1" numFmtId="4">
    <nc r="I27">
      <v>335.29713114754099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2" sId="46" odxf="1" dxf="1" numFmtId="4">
    <nc r="J27">
      <v>341.68374316939889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3" sId="46" odxf="1" dxf="1" numFmtId="4">
    <nc r="K27">
      <v>351.2636612021858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4" sId="46" odxf="1" dxf="1" numFmtId="4">
    <nc r="L27">
      <v>389.58333333333337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5" sId="46" odxf="1" dxf="1" numFmtId="4">
    <nc r="M27">
      <v>467.50000000000006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66" sId="46" odxf="1" dxf="1">
    <nc r="N27">
      <f>E27*0.98</f>
    </nc>
    <odxf>
      <numFmt numFmtId="0" formatCode="General"/>
    </odxf>
    <ndxf>
      <numFmt numFmtId="3" formatCode="#,##0"/>
    </ndxf>
  </rcc>
  <rcc rId="13067" sId="46" odxf="1" dxf="1">
    <nc r="O27">
      <f>G27*0.98</f>
    </nc>
    <odxf>
      <numFmt numFmtId="0" formatCode="General"/>
    </odxf>
    <ndxf>
      <numFmt numFmtId="3" formatCode="#,##0"/>
    </ndxf>
  </rcc>
  <rcc rId="13068" sId="46" odxf="1" dxf="1">
    <nc r="A28">
      <v>22</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69" sId="46" odxf="1" dxf="1">
    <nc r="B28"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070" sId="46" odxf="1" dxf="1">
    <nc r="C28" t="inlineStr">
      <is>
        <t>М-150  белая (50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071" sId="46" odxf="1" dxf="1">
    <nc r="D28">
      <v>50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72" sId="46" odxf="1" dxf="1" numFmtId="4">
    <nc r="E28">
      <v>305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73" sId="46" odxf="1" dxf="1" numFmtId="4">
    <nc r="F28">
      <v>313.60000000000002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074" sId="46" odxf="1" dxf="1" numFmtId="4">
    <nc r="G28">
      <v>314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75" sId="46" odxf="1" dxf="1" numFmtId="4">
    <nc r="H28">
      <v>320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76" sId="46" odxf="1" dxf="1" numFmtId="4">
    <nc r="I28">
      <v>336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77" sId="46" odxf="1" dxf="1" numFmtId="4">
    <nc r="J28">
      <v>342.4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78" sId="46" odxf="1" dxf="1" numFmtId="4">
    <nc r="K28">
      <v>352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79" sId="46" odxf="1" dxf="1" numFmtId="4">
    <nc r="L28">
      <v>390.4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80" sId="46" odxf="1" dxf="1" numFmtId="4">
    <nc r="M28">
      <v>468.47999999999996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81" sId="46" odxf="1" dxf="1">
    <nc r="N28">
      <f>E28*0.98</f>
    </nc>
    <odxf>
      <numFmt numFmtId="0" formatCode="General"/>
    </odxf>
    <ndxf>
      <numFmt numFmtId="3" formatCode="#,##0"/>
    </ndxf>
  </rcc>
  <rcc rId="13082" sId="46" odxf="1" dxf="1">
    <nc r="O28">
      <f>G28*0.98</f>
    </nc>
    <odxf>
      <numFmt numFmtId="0" formatCode="General"/>
    </odxf>
    <ndxf>
      <numFmt numFmtId="3" formatCode="#,##0"/>
    </ndxf>
  </rcc>
  <rcc rId="13083" sId="46" odxf="1" dxf="1">
    <nc r="A29">
      <v>23</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84" sId="46" odxf="1" dxf="1">
    <nc r="B29"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085" sId="46" odxf="1" dxf="1">
    <nc r="C29" t="inlineStr">
      <is>
        <t>М-150  черная (50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086" sId="46" odxf="1" dxf="1">
    <nc r="D29">
      <v>50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87" sId="46" odxf="1" dxf="1" numFmtId="4">
    <nc r="E29">
      <v>305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88" sId="46" odxf="1" dxf="1" numFmtId="4">
    <nc r="F29">
      <v>313.60000000000002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089" sId="46" odxf="1" dxf="1" numFmtId="4">
    <nc r="G29">
      <v>314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0" sId="46" odxf="1" dxf="1" numFmtId="4">
    <nc r="H29">
      <v>320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1" sId="46" odxf="1" dxf="1" numFmtId="4">
    <nc r="I29">
      <v>336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2" sId="46" odxf="1" dxf="1" numFmtId="4">
    <nc r="J29">
      <v>342.4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3" sId="46" odxf="1" dxf="1" numFmtId="4">
    <nc r="K29">
      <v>352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4" sId="46" odxf="1" dxf="1" numFmtId="4">
    <nc r="L29">
      <v>390.4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5" sId="46" odxf="1" dxf="1" numFmtId="4">
    <nc r="M29">
      <v>468.47999999999996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096" sId="46" odxf="1" dxf="1">
    <nc r="N29">
      <f>E29*0.98</f>
    </nc>
    <odxf>
      <numFmt numFmtId="0" formatCode="General"/>
    </odxf>
    <ndxf>
      <numFmt numFmtId="3" formatCode="#,##0"/>
    </ndxf>
  </rcc>
  <rcc rId="13097" sId="46" odxf="1" dxf="1">
    <nc r="O29">
      <f>G29*0.98</f>
    </nc>
    <odxf>
      <numFmt numFmtId="0" formatCode="General"/>
    </odxf>
    <ndxf>
      <numFmt numFmtId="3" formatCode="#,##0"/>
    </ndxf>
  </rcc>
  <rcc rId="13098" sId="46" odxf="1" dxf="1">
    <nc r="A30">
      <v>24</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099" sId="46" odxf="1" dxf="1">
    <nc r="B30"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00" sId="46" odxf="1" dxf="1">
    <nc r="C30" t="inlineStr">
      <is>
        <t>М-150 с известью (25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01" sId="46" odxf="1" dxf="1">
    <nc r="D30">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02" sId="46" odxf="1" dxf="1" numFmtId="4">
    <nc r="E30">
      <v>135.19762845849803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03" sId="46" odxf="1" dxf="1" numFmtId="4">
    <nc r="F30">
      <v>147.19367588932806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04" sId="46" odxf="1" dxf="1" numFmtId="4">
    <nc r="G30">
      <v>144.19762845849803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05" sId="46" odxf="1" dxf="1" numFmtId="4">
    <nc r="H30">
      <v>150.19762845849803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06" sId="46" odxf="1" dxf="1" numFmtId="4">
    <nc r="I30">
      <v>157.70750988142294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07" sId="46" odxf="1" dxf="1" numFmtId="4">
    <nc r="J30">
      <v>160.7114624505929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08" sId="46" odxf="1" dxf="1" numFmtId="4">
    <nc r="K30">
      <v>165.21739130434784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09" sId="46" odxf="1" dxf="1" numFmtId="4">
    <nc r="L30">
      <v>183.24110671936759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10" sId="46" odxf="1" dxf="1" numFmtId="4">
    <nc r="M30">
      <v>219.88932806324112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11" sId="46" odxf="1" dxf="1">
    <nc r="N30">
      <f>E30*0.98</f>
    </nc>
    <odxf>
      <numFmt numFmtId="0" formatCode="General"/>
    </odxf>
    <ndxf>
      <numFmt numFmtId="3" formatCode="#,##0"/>
    </ndxf>
  </rcc>
  <rcc rId="13112" sId="46" odxf="1" dxf="1">
    <nc r="O30">
      <f>G30*0.98</f>
    </nc>
    <odxf>
      <numFmt numFmtId="0" formatCode="General"/>
    </odxf>
    <ndxf>
      <numFmt numFmtId="3" formatCode="#,##0"/>
    </ndxf>
  </rcc>
  <rcc rId="13113" sId="46" odxf="1" dxf="1">
    <nc r="A31">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14" sId="46" odxf="1" dxf="1">
    <nc r="B31"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15" sId="46" odxf="1" dxf="1">
    <nc r="C31" t="inlineStr">
      <is>
        <t>СМ-15 (25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16" sId="46" odxf="1" dxf="1">
    <nc r="D31">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17" sId="46" odxf="1" dxf="1" numFmtId="4">
    <nc r="E31">
      <v>63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18" sId="46" odxf="1" dxf="1" numFmtId="4">
    <nc r="F31">
      <v>76.44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19" sId="46" odxf="1" dxf="1" numFmtId="4">
    <nc r="G31">
      <v>72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0" sId="46" odxf="1" dxf="1" numFmtId="4">
    <nc r="H31">
      <v>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1" sId="46" odxf="1" dxf="1" numFmtId="4">
    <nc r="I31">
      <v>81.900000000000006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2" sId="46" odxf="1" dxf="1" numFmtId="4">
    <nc r="J31">
      <v>83.460000000000008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3" sId="46" odxf="1" dxf="1" numFmtId="4">
    <nc r="K31">
      <v>88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4" sId="46" odxf="1" dxf="1" numFmtId="4">
    <nc r="L31">
      <v>95.16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5" sId="46" odxf="1" dxf="1" numFmtId="4">
    <nc r="M31">
      <v>114.19199999999999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26" sId="46" odxf="1" dxf="1">
    <nc r="N31">
      <f>E31*0.98</f>
    </nc>
    <odxf>
      <numFmt numFmtId="0" formatCode="General"/>
    </odxf>
    <ndxf>
      <numFmt numFmtId="3" formatCode="#,##0"/>
    </ndxf>
  </rcc>
  <rcc rId="13127" sId="46" odxf="1" dxf="1">
    <nc r="O31">
      <f>G31*0.98</f>
    </nc>
    <odxf>
      <numFmt numFmtId="0" formatCode="General"/>
    </odxf>
    <ndxf>
      <numFmt numFmtId="3" formatCode="#,##0"/>
    </ndxf>
  </rcc>
  <rcc rId="13128" sId="46" odxf="1" dxf="1">
    <nc r="A32">
      <v>26</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29" sId="46" odxf="1" dxf="1">
    <nc r="B32"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30" sId="46" odxf="1" dxf="1">
    <nc r="C32" t="inlineStr">
      <is>
        <t>СМ-15 (40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31" sId="46" odxf="1" dxf="1">
    <nc r="D32">
      <v>40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32" sId="46" odxf="1" dxf="1" numFmtId="4">
    <nc r="E32">
      <v>98.805717382468472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33" sId="46" odxf="1" dxf="1" numFmtId="4">
    <nc r="F32">
      <v>111.5296030348191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34" sId="46" odxf="1" dxf="1" numFmtId="4">
    <nc r="G32">
      <v>107.80571738246847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35" sId="46" odxf="1" dxf="1" numFmtId="4">
    <nc r="H32">
      <v>113.80571738246847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36" sId="46" odxf="1" dxf="1" numFmtId="4">
    <nc r="I32">
      <v>119.4960032515919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37" sId="46" odxf="1" dxf="1" numFmtId="4">
    <nc r="J32">
      <v>121.77211759924127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38" sId="46" odxf="1" dxf="1" numFmtId="4">
    <nc r="K32">
      <v>125.18628912071532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39" sId="46" odxf="1" dxf="1" numFmtId="4">
    <nc r="L32">
      <v>138.84297520661153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40" sId="46" odxf="1" dxf="1" numFmtId="4">
    <nc r="M32">
      <v>166.61157024793383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41" sId="46" odxf="1" dxf="1">
    <nc r="N32">
      <f>E32*0.98</f>
    </nc>
    <odxf>
      <numFmt numFmtId="0" formatCode="General"/>
    </odxf>
    <ndxf>
      <numFmt numFmtId="3" formatCode="#,##0"/>
    </ndxf>
  </rcc>
  <rcc rId="13142" sId="46" odxf="1" dxf="1">
    <nc r="O32">
      <f>G32*0.98</f>
    </nc>
    <odxf>
      <numFmt numFmtId="0" formatCode="General"/>
    </odxf>
    <ndxf>
      <numFmt numFmtId="3" formatCode="#,##0"/>
    </ndxf>
  </rcc>
  <rcc rId="13143" sId="46" odxf="1" dxf="1">
    <nc r="A33">
      <v>27</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44" sId="46" odxf="1" dxf="1">
    <nc r="B33"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45" sId="46" odxf="1" dxf="1">
    <nc r="C33" t="inlineStr">
      <is>
        <t>СМ-30 (25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46" sId="46" odxf="1" dxf="1">
    <nc r="D33">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47" sId="46" odxf="1" dxf="1" numFmtId="4">
    <nc r="E33">
      <v>74.531680440771339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48" sId="46" odxf="1" dxf="1" numFmtId="4">
    <nc r="F33">
      <v>87.741046831955913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49" sId="46" odxf="1" dxf="1" numFmtId="4">
    <nc r="G33">
      <v>83.531680440771339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0" sId="46" odxf="1" dxf="1" numFmtId="4">
    <nc r="H33">
      <v>89.531680440771339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1" sId="46" odxf="1" dxf="1" numFmtId="4">
    <nc r="I33">
      <v>94.008264462809905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2" sId="46" odxf="1" dxf="1" numFmtId="4">
    <nc r="J33">
      <v>95.798898071625331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3" sId="46" odxf="1" dxf="1" numFmtId="4">
    <nc r="K33">
      <v>98.48484848484847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4" sId="46" odxf="1" dxf="1" numFmtId="4">
    <nc r="L33">
      <v>109.22865013774103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5" sId="46" odxf="1" dxf="1" numFmtId="4">
    <nc r="M33">
      <v>131.07438016528923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56" sId="46" odxf="1" dxf="1">
    <nc r="N33">
      <f>E33*0.98</f>
    </nc>
    <odxf>
      <numFmt numFmtId="0" formatCode="General"/>
    </odxf>
    <ndxf>
      <numFmt numFmtId="3" formatCode="#,##0"/>
    </ndxf>
  </rcc>
  <rcc rId="13157" sId="46" odxf="1" dxf="1">
    <nc r="O33">
      <f>G33*0.98</f>
    </nc>
    <odxf>
      <numFmt numFmtId="0" formatCode="General"/>
    </odxf>
    <ndxf>
      <numFmt numFmtId="3" formatCode="#,##0"/>
    </ndxf>
  </rcc>
  <rcc rId="13158" sId="46" odxf="1" dxf="1">
    <nc r="A34">
      <v>28</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59" sId="46" odxf="1" dxf="1">
    <nc r="B34"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60" sId="46" odxf="1" dxf="1">
    <nc r="C34" t="inlineStr">
      <is>
        <t>СМ-30 (40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61" sId="46" odxf="1" dxf="1">
    <nc r="D34">
      <v>40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62" sId="46" odxf="1" dxf="1" numFmtId="4">
    <nc r="E34">
      <v>108.28952716434085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63" sId="46" odxf="1" dxf="1" numFmtId="4">
    <nc r="F34">
      <v>120.82373662105404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64" sId="46" odxf="1" dxf="1" numFmtId="4">
    <nc r="G34">
      <v>117.28952716434085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65" sId="46" odxf="1" dxf="1" numFmtId="4">
    <nc r="H34">
      <v>123.28952716434085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66" sId="46" odxf="1" dxf="1" numFmtId="4">
    <nc r="I34">
      <v>129.45400352255788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67" sId="46" odxf="1" dxf="1" numFmtId="4">
    <nc r="J34">
      <v>131.91979406584471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68" sId="46" odxf="1" dxf="1" numFmtId="4">
    <nc r="K34">
      <v>135.61847988077494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69" sId="46" odxf="1" dxf="1" numFmtId="4">
    <nc r="L34">
      <v>150.41322314049583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70" sId="46" odxf="1" dxf="1" numFmtId="4">
    <nc r="M34">
      <v>180.49586776859499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71" sId="46" odxf="1" dxf="1">
    <nc r="N34">
      <f>E34*0.98</f>
    </nc>
    <odxf>
      <numFmt numFmtId="0" formatCode="General"/>
    </odxf>
    <ndxf>
      <numFmt numFmtId="3" formatCode="#,##0"/>
    </ndxf>
  </rcc>
  <rcc rId="13172" sId="46" odxf="1" dxf="1">
    <nc r="O34">
      <f>G34*0.98</f>
    </nc>
    <odxf>
      <numFmt numFmtId="0" formatCode="General"/>
    </odxf>
    <ndxf>
      <numFmt numFmtId="3" formatCode="#,##0"/>
    </ndxf>
  </rcc>
  <rcc rId="13173" sId="46" odxf="1" dxf="1">
    <nc r="A35">
      <v>29</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74" sId="46" odxf="1" dxf="1">
    <nc r="B35"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75" sId="46" odxf="1" dxf="1">
    <nc r="C35" t="inlineStr">
      <is>
        <t>УН (25)</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76" sId="46" odxf="1" dxf="1">
    <nc r="D35">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77" sId="46" odxf="1" dxf="1" numFmtId="4">
    <nc r="E35">
      <v>87.459016393442624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78" sId="46" odxf="1" dxf="1" numFmtId="4">
    <nc r="F35">
      <v>100.40983606557377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79" sId="46" odxf="1" dxf="1" numFmtId="4">
    <nc r="G35">
      <v>96.459016393442624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0" sId="46" odxf="1" dxf="1" numFmtId="4">
    <nc r="H35">
      <v>102.45901639344262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1" sId="46" odxf="1" dxf="1" numFmtId="4">
    <nc r="I35">
      <v>107.58196721311475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2" sId="46" odxf="1" dxf="1" numFmtId="4">
    <nc r="J35">
      <v>109.6311475409836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3" sId="46" odxf="1" dxf="1" numFmtId="4">
    <nc r="K35">
      <v>112.70491803278689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4" sId="46" odxf="1" dxf="1" numFmtId="4">
    <nc r="L35">
      <v>125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5" sId="46" odxf="1" dxf="1" numFmtId="4">
    <nc r="M35">
      <v>150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86" sId="46" odxf="1" dxf="1">
    <nc r="N35">
      <f>E35*0.98</f>
    </nc>
    <odxf>
      <numFmt numFmtId="0" formatCode="General"/>
    </odxf>
    <ndxf>
      <numFmt numFmtId="3" formatCode="#,##0"/>
    </ndxf>
  </rcc>
  <rcc rId="13187" sId="46" odxf="1" dxf="1">
    <nc r="O35">
      <f>G35*0.98</f>
    </nc>
    <odxf>
      <numFmt numFmtId="0" formatCode="General"/>
    </odxf>
    <ndxf>
      <numFmt numFmtId="3" formatCode="#,##0"/>
    </ndxf>
  </rcc>
  <rcc rId="13188" sId="46" odxf="1" dxf="1">
    <nc r="A36">
      <v>30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89" sId="46" odxf="1" dxf="1">
    <nc r="B36" t="inlineStr">
      <is>
        <t>пол наливной</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90" sId="46" odxf="1" dxf="1">
    <nc r="C36" t="inlineStr">
      <is>
        <t>Формматэкон  НЦП цем. пол  (20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191" sId="46" odxf="1" dxf="1">
    <nc r="D36">
      <v>20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192" sId="46" odxf="1" dxf="1" numFmtId="4">
    <nc r="E36">
      <v>189.91803278688525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93" sId="46" odxf="1" dxf="1" numFmtId="4">
    <nc r="F36">
      <v>200.81967213114754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194" sId="46" odxf="1" dxf="1" numFmtId="4">
    <nc r="G36">
      <v>198.91803278688525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95" sId="46" odxf="1" dxf="1" numFmtId="4">
    <nc r="H36">
      <v>204.91803278688525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96" sId="46" odxf="1" dxf="1" numFmtId="4">
    <nc r="I36">
      <v>215.1639344262295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97" sId="46" odxf="1" dxf="1" numFmtId="4">
    <nc r="J36">
      <v>219.26229508196721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98" sId="46" odxf="1" dxf="1" numFmtId="4">
    <nc r="K36">
      <v>225.40983606557378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199" sId="46" odxf="1" dxf="1" numFmtId="4">
    <nc r="L36">
      <v>250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00" sId="46" odxf="1" dxf="1" numFmtId="4">
    <nc r="M36">
      <v>300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01" sId="46" odxf="1" dxf="1">
    <nc r="N36">
      <f>E36*0.98</f>
    </nc>
    <odxf>
      <numFmt numFmtId="0" formatCode="General"/>
    </odxf>
    <ndxf>
      <numFmt numFmtId="3" formatCode="#,##0"/>
    </ndxf>
  </rcc>
  <rcc rId="13202" sId="46" odxf="1" dxf="1">
    <nc r="O36">
      <f>G36*0.98</f>
    </nc>
    <odxf>
      <numFmt numFmtId="0" formatCode="General"/>
    </odxf>
    <ndxf>
      <numFmt numFmtId="3" formatCode="#,##0"/>
    </ndxf>
  </rcc>
  <rcc rId="13203" sId="46" odxf="1" dxf="1">
    <nc r="A37">
      <v>31</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04" sId="46" odxf="1" dxf="1">
    <nc r="B37"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05" sId="46" odxf="1" dxf="1">
    <nc r="C37" t="inlineStr">
      <is>
        <t>Формматэкон СМ 15 (25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06" sId="46" odxf="1" dxf="1">
    <nc r="D37">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07" sId="46" odxf="1" dxf="1" numFmtId="4">
    <nc r="E37">
      <v>53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08" sId="46" odxf="1" dxf="1" numFmtId="4">
    <nc r="F37">
      <v>66.64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09" sId="46" odxf="1" dxf="1" numFmtId="4">
    <nc r="G37">
      <v>62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0" sId="46" odxf="1" dxf="1" numFmtId="4">
    <nc r="H37">
      <v>68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1" sId="46" odxf="1" dxf="1" numFmtId="4">
    <nc r="I37">
      <v>71.400000000000006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2" sId="46" odxf="1" dxf="1" numFmtId="4">
    <nc r="J37">
      <v>72.760000000000005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3" sId="46" odxf="1" dxf="1" numFmtId="4">
    <nc r="K37">
      <v>78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4" sId="46" odxf="1" dxf="1" numFmtId="4">
    <nc r="L37">
      <v>82.960000000000008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5" sId="46" odxf="1" dxf="1" numFmtId="4">
    <nc r="M37">
      <v>99.552000000000007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16" sId="46" odxf="1" dxf="1">
    <nc r="N37">
      <f>E37*0.98</f>
    </nc>
    <odxf>
      <numFmt numFmtId="0" formatCode="General"/>
    </odxf>
    <ndxf>
      <numFmt numFmtId="3" formatCode="#,##0"/>
    </ndxf>
  </rcc>
  <rcc rId="13217" sId="46" odxf="1" dxf="1">
    <nc r="O37">
      <f>G37*0.98</f>
    </nc>
    <odxf>
      <numFmt numFmtId="0" formatCode="General"/>
    </odxf>
    <ndxf>
      <numFmt numFmtId="3" formatCode="#,##0"/>
    </ndxf>
  </rcc>
  <rcc rId="13218" sId="46" odxf="1" dxf="1">
    <nc r="A38">
      <v>32</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19" sId="46" odxf="1" dxf="1">
    <nc r="B38"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20" sId="46" odxf="1" dxf="1">
    <nc r="C38" t="inlineStr">
      <is>
        <t>Формматэкон СМ 15 (50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21" sId="46" odxf="1" dxf="1">
    <nc r="D38">
      <v>50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22" sId="46" odxf="1" dxf="1" numFmtId="4">
    <nc r="E38">
      <v>116.28947555177064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23" sId="46" odxf="1" dxf="1" numFmtId="4">
    <nc r="F38">
      <v>128.66368604073523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24" sId="46" odxf="1" dxf="1" numFmtId="4">
    <nc r="G38">
      <v>125.28947555177064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25" sId="46" odxf="1" dxf="1" numFmtId="4">
    <nc r="H38">
      <v>131.28947555177064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26" sId="46" odxf="1" dxf="1" numFmtId="4">
    <nc r="I38">
      <v>137.85394932935918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27" sId="46" odxf="1" dxf="1" numFmtId="4">
    <nc r="J38">
      <v>140.47973884039459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28" sId="46" odxf="1" dxf="1" numFmtId="4">
    <nc r="K38">
      <v>145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29" sId="46" odxf="1" dxf="1" numFmtId="4">
    <nc r="L38">
      <v>160.17316017316017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30" sId="46" odxf="1" dxf="1" numFmtId="4">
    <nc r="M38">
      <v>185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31" sId="46" odxf="1" dxf="1">
    <nc r="N38">
      <f>E38*0.98</f>
    </nc>
    <odxf>
      <numFmt numFmtId="0" formatCode="General"/>
    </odxf>
    <ndxf>
      <numFmt numFmtId="3" formatCode="#,##0"/>
    </ndxf>
  </rcc>
  <rcc rId="13232" sId="46" odxf="1" dxf="1">
    <nc r="O38">
      <f>G38*0.98</f>
    </nc>
    <odxf>
      <numFmt numFmtId="0" formatCode="General"/>
    </odxf>
    <ndxf>
      <numFmt numFmtId="3" formatCode="#,##0"/>
    </ndxf>
  </rcc>
  <rcc rId="13233" sId="46" odxf="1" dxf="1">
    <nc r="A39">
      <v>33</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34" sId="46" odxf="1" dxf="1">
    <nc r="B39"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35" sId="46" odxf="1" dxf="1">
    <nc r="C39" t="inlineStr">
      <is>
        <t>Формматэкон СМ 30 (25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36" sId="46" odxf="1" dxf="1">
    <nc r="D39">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37" sId="46" odxf="1" dxf="1" numFmtId="4">
    <nc r="E39">
      <v>70.268267086448887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38" sId="46" odxf="1" dxf="1" numFmtId="4">
    <nc r="F39">
      <v>83.562901744719909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39" sId="46" odxf="1" dxf="1" numFmtId="4">
    <nc r="G39">
      <v>79.268267086448887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0" sId="46" odxf="1" dxf="1" numFmtId="4">
    <nc r="H39">
      <v>85.268267086448887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1" sId="46" odxf="1" dxf="1" numFmtId="4">
    <nc r="I39">
      <v>89.531680440771325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2" sId="46" odxf="1" dxf="1" numFmtId="4">
    <nc r="J39">
      <v>91.237045782500303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3" sId="46" odxf="1" dxf="1" numFmtId="4">
    <nc r="K39">
      <v>93.795093795093777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4" sId="46" odxf="1" dxf="1" numFmtId="4">
    <nc r="L39">
      <v>104.02728584546765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5" sId="46" odxf="1" dxf="1" numFmtId="4">
    <nc r="M39">
      <v>124.83274301456117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46" sId="46" odxf="1" dxf="1">
    <nc r="N39">
      <f>E39*0.98</f>
    </nc>
    <odxf>
      <numFmt numFmtId="0" formatCode="General"/>
    </odxf>
    <ndxf>
      <numFmt numFmtId="3" formatCode="#,##0"/>
    </ndxf>
  </rcc>
  <rcc rId="13247" sId="46" odxf="1" dxf="1">
    <nc r="O39">
      <f>G39*0.98</f>
    </nc>
    <odxf>
      <numFmt numFmtId="0" formatCode="General"/>
    </odxf>
    <ndxf>
      <numFmt numFmtId="3" formatCode="#,##0"/>
    </ndxf>
  </rcc>
  <rcc rId="13248" sId="46" odxf="1" dxf="1">
    <nc r="A40">
      <v>34</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49" sId="46" odxf="1" dxf="1">
    <nc r="B40" t="inlineStr">
      <is>
        <t>Гарцовки</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50" sId="46" odxf="1" dxf="1">
    <nc r="C40" t="inlineStr">
      <is>
        <t>Формматэкон СМ 30 (50 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51" sId="46" odxf="1" dxf="1">
    <nc r="D40">
      <v>50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52" sId="46" odxf="1" dxf="1" numFmtId="4">
    <nc r="E40">
      <v>140.16028928845617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53" sId="46" odxf="1" dxf="1" numFmtId="4">
    <nc r="F40">
      <v>152.05708350268705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54" sId="46" odxf="1" dxf="1" numFmtId="4">
    <nc r="G40">
      <v>149.16028928845617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55" sId="46" odxf="1" dxf="1" numFmtId="4">
    <nc r="H40">
      <v>155.16028928845617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56" sId="46" odxf="1" dxf="1" numFmtId="4">
    <nc r="I40">
      <v>162.91830375287898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57" sId="46" odxf="1" dxf="1" numFmtId="4">
    <nc r="J40">
      <v>166.0215095386481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58" sId="46" odxf="1" dxf="1" numFmtId="4">
    <nc r="K40">
      <v>170.6763182173018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59" sId="46" odxf="1" dxf="1" numFmtId="4">
    <nc r="L40">
      <v>189.29555293191652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60" sId="46" odxf="1" dxf="1" numFmtId="4">
    <nc r="M40">
      <v>227.15466351829983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61" sId="46" odxf="1" dxf="1">
    <nc r="N40">
      <f>E40*0.98</f>
    </nc>
    <odxf>
      <numFmt numFmtId="0" formatCode="General"/>
    </odxf>
    <ndxf>
      <numFmt numFmtId="3" formatCode="#,##0"/>
    </ndxf>
  </rcc>
  <rcc rId="13262" sId="46" odxf="1" dxf="1">
    <nc r="O40">
      <f>G40*0.98</f>
    </nc>
    <odxf>
      <numFmt numFmtId="0" formatCode="General"/>
    </odxf>
    <ndxf>
      <numFmt numFmtId="3" formatCode="#,##0"/>
    </ndxf>
  </rcc>
  <rcc rId="13263" sId="46" odxf="1" dxf="1">
    <nc r="A41">
      <v>35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64" sId="46" odxf="1" dxf="1">
    <nc r="B41" t="inlineStr">
      <is>
        <t>Сыпучие товары</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65" sId="46" odxf="1" dxf="1">
    <nc r="C41" t="inlineStr">
      <is>
        <t>Песок кварцевый для детских площадок 0,16-0,63 (25кг)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66" sId="46" odxf="1" dxf="1">
    <nc r="D41">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67" sId="46" odxf="1" dxf="1" numFmtId="4">
    <nc r="E41">
      <v>74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68" sId="46" odxf="1" dxf="1" numFmtId="4">
    <nc r="F41">
      <v>87.22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69" sId="46" odxf="1" dxf="1" numFmtId="4">
    <nc r="G41">
      <v>83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70" sId="46" odxf="1" dxf="1">
    <nc r="H41">
      <v>89</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71" sId="46" odxf="1" dxf="1" numFmtId="4">
    <nc r="I41">
      <v>93.45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72" sId="46" odxf="1" dxf="1" numFmtId="4">
    <nc r="J41">
      <v>95.23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73" sId="46" odxf="1" dxf="1" numFmtId="4">
    <nc r="K41">
      <v>97.9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74" sId="46" odxf="1" dxf="1" numFmtId="4">
    <nc r="L41">
      <v>108.58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75" sId="46" odxf="1" dxf="1" numFmtId="4">
    <nc r="M41">
      <v>130.29599999999999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76" sId="46" odxf="1" dxf="1">
    <nc r="N41">
      <f>E41*0.98</f>
    </nc>
    <odxf>
      <numFmt numFmtId="0" formatCode="General"/>
    </odxf>
    <ndxf>
      <numFmt numFmtId="3" formatCode="#,##0"/>
    </ndxf>
  </rcc>
  <rcc rId="13277" sId="46" odxf="1" dxf="1">
    <nc r="O41">
      <f>G41*0.98</f>
    </nc>
    <odxf>
      <numFmt numFmtId="0" formatCode="General"/>
    </odxf>
    <ndxf>
      <numFmt numFmtId="3" formatCode="#,##0"/>
    </ndxf>
  </rcc>
  <rcc rId="13278" sId="46" odxf="1" dxf="1">
    <nc r="A42">
      <v>36</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79" sId="46" odxf="1" dxf="1">
    <nc r="B42" t="inlineStr">
      <is>
        <t>Сыпучие товары</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80" sId="46" odxf="1" dxf="1">
    <nc r="C42" t="inlineStr">
      <is>
        <t>Песок кварцевый желтый оттертый (0,16-0,63мм) (25кг) брэнд 999,9</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81" sId="46" odxf="1" dxf="1">
    <nc r="D42">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82" sId="46" odxf="1" dxf="1" numFmtId="4">
    <nc r="E42">
      <v>88</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83" sId="46" odxf="1" dxf="1" numFmtId="4">
    <nc r="F42">
      <v>100.94</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84" sId="46" odxf="1" dxf="1" numFmtId="4">
    <nc r="G42">
      <v>97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85" sId="46" odxf="1" dxf="1">
    <nc r="H42">
      <v>103</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86" sId="46" odxf="1" dxf="1" numFmtId="4">
    <nc r="I42">
      <v>108.15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87" sId="46" odxf="1" dxf="1" numFmtId="4">
    <nc r="J42">
      <v>110.21000000000001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88" sId="46" odxf="1" dxf="1" numFmtId="4">
    <nc r="K42">
      <v>113.3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89" sId="46" odxf="1" dxf="1" numFmtId="4">
    <nc r="L42">
      <v>125.66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90" sId="46" odxf="1" dxf="1" numFmtId="4">
    <nc r="M42">
      <v>150.792</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91" sId="46" odxf="1" dxf="1">
    <nc r="N42">
      <f>E42*0.98</f>
    </nc>
    <odxf>
      <numFmt numFmtId="0" formatCode="General"/>
    </odxf>
    <ndxf>
      <numFmt numFmtId="3" formatCode="#,##0"/>
    </ndxf>
  </rcc>
  <rcc rId="13292" sId="46" odxf="1" dxf="1">
    <nc r="O42">
      <f>G42*0.98</f>
    </nc>
    <odxf>
      <numFmt numFmtId="0" formatCode="General"/>
    </odxf>
    <ndxf>
      <numFmt numFmtId="3" formatCode="#,##0"/>
    </ndxf>
  </rcc>
  <rcc rId="13293" sId="46" odxf="1" dxf="1">
    <nc r="A43">
      <v>37</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94" sId="46" odxf="1" dxf="1">
    <nc r="B43" t="inlineStr">
      <is>
        <t>Сыпучие товары</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95" sId="46" odxf="1" dxf="1">
    <nc r="C43" t="inlineStr">
      <is>
        <t>Камень гранитный 40-70 фр.25кг</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296" sId="46" odxf="1" dxf="1">
    <nc r="D43">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297" sId="46" odxf="1" dxf="1" numFmtId="4">
    <nc r="E43">
      <v>100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298" sId="46" odxf="1" dxf="1" numFmtId="4">
    <nc r="F43">
      <v>112.7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299" sId="46" odxf="1" dxf="1" numFmtId="4">
    <nc r="G43">
      <v>109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00" sId="46" odxf="1" dxf="1">
    <nc r="H43">
      <v>115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01" sId="46" odxf="1" dxf="1" numFmtId="4">
    <nc r="I43">
      <v>120.75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02" sId="46" odxf="1" dxf="1" numFmtId="4">
    <nc r="J43">
      <v>123.05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03" sId="46" odxf="1" dxf="1" numFmtId="4">
    <nc r="K43">
      <v>126.5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04" sId="46" odxf="1" dxf="1" numFmtId="4">
    <nc r="L43">
      <v>140.30000000000001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05" sId="46" odxf="1" dxf="1" numFmtId="4">
    <nc r="M43">
      <v>168.36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06" sId="46" odxf="1" dxf="1">
    <nc r="N43">
      <f>E43*0.98</f>
    </nc>
    <odxf>
      <numFmt numFmtId="0" formatCode="General"/>
    </odxf>
    <ndxf>
      <numFmt numFmtId="3" formatCode="#,##0"/>
    </ndxf>
  </rcc>
  <rcc rId="13307" sId="46" odxf="1" dxf="1">
    <nc r="O43">
      <f>G43*0.98</f>
    </nc>
    <odxf>
      <numFmt numFmtId="0" formatCode="General"/>
    </odxf>
    <ndxf>
      <numFmt numFmtId="3" formatCode="#,##0"/>
    </ndxf>
  </rcc>
  <rcc rId="13308" sId="46" odxf="1" dxf="1">
    <nc r="A44">
      <v>38</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09" sId="46" odxf="1" dxf="1">
    <nc r="B44" t="inlineStr">
      <is>
        <t>Сыпучие товары</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310" sId="46" odxf="1" dxf="1">
    <nc r="C44" t="inlineStr">
      <is>
        <t>Керамзит ф.20-40 (25 дм3)</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311" sId="46" odxf="1" dxf="1">
    <nc r="D44">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12" sId="46" odxf="1" dxf="1" numFmtId="4">
    <nc r="E44">
      <v>110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13" sId="46" odxf="1" dxf="1" numFmtId="4">
    <nc r="F44">
      <v>122.5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314" sId="46" odxf="1" dxf="1" numFmtId="4">
    <nc r="G44">
      <v>119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15" sId="46" odxf="1" dxf="1">
    <nc r="H44">
      <v>125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16" sId="46" odxf="1" dxf="1" numFmtId="4">
    <nc r="I44">
      <v>131.25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17" sId="46" odxf="1" dxf="1" numFmtId="4">
    <nc r="J44">
      <v>133.75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18" sId="46" odxf="1" dxf="1" numFmtId="4">
    <nc r="K44">
      <v>137.5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19" sId="46" odxf="1" dxf="1" numFmtId="4">
    <nc r="L44">
      <v>152.5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20" sId="46" odxf="1" dxf="1" numFmtId="4">
    <nc r="M44">
      <v>183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21" sId="46" odxf="1" dxf="1">
    <nc r="N44">
      <f>E44*0.98</f>
    </nc>
    <odxf>
      <numFmt numFmtId="0" formatCode="General"/>
    </odxf>
    <ndxf>
      <numFmt numFmtId="3" formatCode="#,##0"/>
    </ndxf>
  </rcc>
  <rcc rId="13322" sId="46" odxf="1" dxf="1">
    <nc r="O44">
      <f>G44*0.98</f>
    </nc>
    <odxf>
      <numFmt numFmtId="0" formatCode="General"/>
    </odxf>
    <ndxf>
      <numFmt numFmtId="3" formatCode="#,##0"/>
    </ndxf>
  </rcc>
  <rcc rId="13323" sId="46" odxf="1" dxf="1">
    <nc r="A45">
      <v>39</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24" sId="46" odxf="1" dxf="1">
    <nc r="B45" t="inlineStr">
      <is>
        <t>Сыпучие товары</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325" sId="46" odxf="1" dxf="1">
    <nc r="C45" t="inlineStr">
      <is>
        <t>Керамзит ф. 5-20 (25 дм3)</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326" sId="46" odxf="1" dxf="1">
    <nc r="D45">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27" sId="46" odxf="1" dxf="1" numFmtId="4">
    <nc r="E45">
      <v>110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28" sId="46" odxf="1" dxf="1" numFmtId="4">
    <nc r="F45">
      <v>122.5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329" sId="46" odxf="1" dxf="1" numFmtId="4">
    <nc r="G45">
      <v>119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30" sId="46" odxf="1" dxf="1">
    <nc r="H45">
      <v>125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31" sId="46" odxf="1" dxf="1" numFmtId="4">
    <nc r="I45">
      <v>131.25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32" sId="46" odxf="1" dxf="1" numFmtId="4">
    <nc r="J45">
      <v>133.75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33" sId="46" odxf="1" dxf="1" numFmtId="4">
    <nc r="K45">
      <v>137.5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34" sId="46" odxf="1" dxf="1" numFmtId="4">
    <nc r="L45">
      <v>152.5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35" sId="46" odxf="1" dxf="1" numFmtId="4">
    <nc r="M45">
      <v>183</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36" sId="46" odxf="1" dxf="1">
    <nc r="N45">
      <f>E45*0.98</f>
    </nc>
    <odxf>
      <numFmt numFmtId="0" formatCode="General"/>
    </odxf>
    <ndxf>
      <numFmt numFmtId="3" formatCode="#,##0"/>
    </ndxf>
  </rcc>
  <rcc rId="13337" sId="46" odxf="1" dxf="1">
    <nc r="O45">
      <f>G45*0.98</f>
    </nc>
    <odxf>
      <numFmt numFmtId="0" formatCode="General"/>
    </odxf>
    <ndxf>
      <numFmt numFmtId="3" formatCode="#,##0"/>
    </ndxf>
  </rcc>
  <rcc rId="13338" sId="46" odxf="1" dxf="1">
    <nc r="A46">
      <v>40</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39" sId="46" odxf="1" dxf="1">
    <nc r="B46" t="inlineStr">
      <is>
        <t>Сыпучие товары</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340" sId="46" odxf="1" dxf="1">
    <nc r="C46" t="inlineStr">
      <is>
        <t>Щебень ф5-20 (25)</t>
      </is>
    </nc>
    <odxf>
      <font>
        <sz val="11"/>
        <color theme="1"/>
        <name val="Calibri"/>
        <scheme val="minor"/>
      </font>
      <alignment horizontal="general" vertical="bottom" readingOrder="0"/>
      <border outline="0">
        <left/>
        <right/>
        <top/>
        <bottom/>
      </border>
    </odxf>
    <ndxf>
      <font>
        <sz val="8"/>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3341" sId="46" odxf="1" dxf="1">
    <nc r="D46">
      <v>25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42" sId="46" odxf="1" dxf="1" numFmtId="4">
    <nc r="E46">
      <v>100</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43" sId="46" odxf="1" dxf="1" numFmtId="4">
    <nc r="F46">
      <v>112.7</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3" formatCode="#,##0"/>
      <alignment vertical="top" readingOrder="0"/>
      <border outline="0">
        <left style="thin">
          <color indexed="64"/>
        </left>
        <right style="thin">
          <color indexed="64"/>
        </right>
        <top style="thin">
          <color indexed="64"/>
        </top>
        <bottom style="thin">
          <color indexed="64"/>
        </bottom>
      </border>
    </ndxf>
  </rcc>
  <rcc rId="13344" sId="46" odxf="1" dxf="1" numFmtId="4">
    <nc r="G46">
      <v>109</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45" sId="46" odxf="1" dxf="1">
    <nc r="H46">
      <v>115</v>
    </nc>
    <odxf>
      <font>
        <sz val="11"/>
        <color theme="1"/>
        <name val="Calibri"/>
        <scheme val="minor"/>
      </font>
      <alignment vertical="bottom" readingOrder="0"/>
      <border outline="0">
        <left/>
        <right/>
        <top/>
        <bottom/>
      </border>
    </odxf>
    <ndxf>
      <font>
        <sz val="8"/>
        <color theme="1"/>
        <name val="Calibri"/>
        <scheme val="minor"/>
      </font>
      <alignment vertical="top" readingOrder="0"/>
      <border outline="0">
        <left style="thin">
          <color indexed="64"/>
        </left>
        <right style="thin">
          <color indexed="64"/>
        </right>
        <top style="thin">
          <color indexed="64"/>
        </top>
        <bottom style="thin">
          <color indexed="64"/>
        </bottom>
      </border>
    </ndxf>
  </rcc>
  <rcc rId="13346" sId="46" odxf="1" dxf="1" numFmtId="4">
    <nc r="I46">
      <v>120.75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47" sId="46" odxf="1" dxf="1" numFmtId="4">
    <nc r="J46">
      <v>123.05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48" sId="46" odxf="1" dxf="1" numFmtId="4">
    <nc r="K46">
      <v>126.5</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49" sId="46" odxf="1" dxf="1" numFmtId="4">
    <nc r="L46">
      <v>140.30000000000001</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50" sId="46" odxf="1" dxf="1" numFmtId="4">
    <nc r="M46">
      <v>168.36</v>
    </nc>
    <odxf>
      <font>
        <b val="0"/>
        <sz val="11"/>
        <color theme="1"/>
        <name val="Calibri"/>
        <scheme val="minor"/>
      </font>
      <numFmt numFmtId="0" formatCode="General"/>
      <alignment vertical="bottom" readingOrder="0"/>
      <border outline="0">
        <left/>
        <right/>
        <top/>
        <bottom/>
      </border>
    </odxf>
    <ndxf>
      <font>
        <b/>
        <sz val="8"/>
        <color theme="1"/>
        <name val="Calibri"/>
        <scheme val="minor"/>
      </font>
      <numFmt numFmtId="1" formatCode="0"/>
      <alignment vertical="top" readingOrder="0"/>
      <border outline="0">
        <left style="thin">
          <color indexed="64"/>
        </left>
        <right style="thin">
          <color indexed="64"/>
        </right>
        <top style="thin">
          <color indexed="64"/>
        </top>
        <bottom style="thin">
          <color indexed="64"/>
        </bottom>
      </border>
    </ndxf>
  </rcc>
  <rcc rId="13351" sId="46" odxf="1" dxf="1">
    <nc r="N46">
      <f>E46*0.98</f>
    </nc>
    <odxf>
      <numFmt numFmtId="0" formatCode="General"/>
    </odxf>
    <ndxf>
      <numFmt numFmtId="3" formatCode="#,##0"/>
    </ndxf>
  </rcc>
  <rcc rId="13352" sId="46" odxf="1" dxf="1">
    <nc r="O46">
      <f>G46*0.98</f>
    </nc>
    <odxf>
      <numFmt numFmtId="0" formatCode="General"/>
    </odxf>
    <ndxf>
      <numFmt numFmtId="3" formatCode="#,##0"/>
    </ndxf>
  </rcc>
  <rfmt sheetId="46" sqref="A1" start="0" length="0">
    <dxf>
      <font>
        <sz val="16"/>
        <color theme="1"/>
        <name val="Calibri"/>
        <scheme val="minor"/>
      </font>
      <fill>
        <patternFill patternType="solid">
          <bgColor rgb="FF00B0F0"/>
        </patternFill>
      </fill>
      <border outline="0">
        <left style="medium">
          <color indexed="64"/>
        </left>
        <top style="medium">
          <color indexed="64"/>
        </top>
        <bottom style="medium">
          <color indexed="64"/>
        </bottom>
      </border>
    </dxf>
  </rfmt>
  <rfmt sheetId="46" sqref="B1" start="0" length="0">
    <dxf>
      <font>
        <sz val="16"/>
        <color theme="1"/>
        <name val="Calibri"/>
        <scheme val="minor"/>
      </font>
      <fill>
        <patternFill patternType="solid">
          <bgColor rgb="FF00B0F0"/>
        </patternFill>
      </fill>
      <border outline="0">
        <top style="medium">
          <color indexed="64"/>
        </top>
        <bottom style="medium">
          <color indexed="64"/>
        </bottom>
      </border>
    </dxf>
  </rfmt>
  <rfmt sheetId="46" sqref="C1" start="0" length="0">
    <dxf>
      <font>
        <sz val="16"/>
        <color theme="1"/>
        <name val="Calibri"/>
        <scheme val="minor"/>
      </font>
      <fill>
        <patternFill patternType="solid">
          <bgColor rgb="FF00B0F0"/>
        </patternFill>
      </fill>
      <border outline="0">
        <top style="medium">
          <color indexed="64"/>
        </top>
        <bottom style="medium">
          <color indexed="64"/>
        </bottom>
      </border>
    </dxf>
  </rfmt>
  <rfmt sheetId="46" sqref="D1" start="0" length="0">
    <dxf>
      <font>
        <sz val="16"/>
        <color theme="1"/>
        <name val="Calibri"/>
        <scheme val="minor"/>
      </font>
      <fill>
        <patternFill patternType="solid">
          <bgColor rgb="FF00B0F0"/>
        </patternFill>
      </fill>
      <border outline="0">
        <top style="medium">
          <color indexed="64"/>
        </top>
        <bottom style="medium">
          <color indexed="64"/>
        </bottom>
      </border>
    </dxf>
  </rfmt>
  <rfmt sheetId="46" sqref="E1" start="0" length="0">
    <dxf>
      <font>
        <sz val="16"/>
        <color theme="1"/>
        <name val="Calibri"/>
        <scheme val="minor"/>
      </font>
      <fill>
        <patternFill patternType="solid">
          <bgColor rgb="FF00B0F0"/>
        </patternFill>
      </fill>
      <border outline="0">
        <top style="medium">
          <color indexed="64"/>
        </top>
        <bottom style="medium">
          <color indexed="64"/>
        </bottom>
      </border>
    </dxf>
  </rfmt>
  <rfmt sheetId="46" sqref="F1" start="0" length="0">
    <dxf>
      <font>
        <sz val="16"/>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6" sqref="G1" start="0" length="0">
    <dxf>
      <font>
        <sz val="16"/>
        <color theme="1"/>
        <name val="Calibri"/>
        <scheme val="minor"/>
      </font>
      <numFmt numFmtId="19" formatCode="dd/mm/yyyy"/>
      <fill>
        <patternFill patternType="solid">
          <bgColor rgb="FF00B0F0"/>
        </patternFill>
      </fill>
      <border outline="0">
        <top style="medium">
          <color indexed="64"/>
        </top>
        <bottom style="medium">
          <color indexed="64"/>
        </bottom>
      </border>
    </dxf>
  </rfmt>
  <rfmt sheetId="46" sqref="A7:A46">
    <dxf>
      <alignment horizontal="center" readingOrder="0"/>
    </dxf>
  </rfmt>
  <rfmt sheetId="46" sqref="D7:D46">
    <dxf>
      <alignment horizontal="center" readingOrder="0"/>
    </dxf>
  </rfmt>
  <rfmt sheetId="46" sqref="O5:O6" start="0" length="0">
    <dxf>
      <border>
        <left style="thin">
          <color indexed="64"/>
        </left>
      </border>
    </dxf>
  </rfmt>
  <rfmt sheetId="46" sqref="O5" start="0" length="0">
    <dxf>
      <border>
        <top style="thin">
          <color indexed="64"/>
        </top>
      </border>
    </dxf>
  </rfmt>
  <rfmt sheetId="46" sqref="O5:O6" start="0" length="0">
    <dxf>
      <border>
        <right style="thin">
          <color indexed="64"/>
        </right>
      </border>
    </dxf>
  </rfmt>
  <rfmt sheetId="46" sqref="O6" start="0" length="0">
    <dxf>
      <border>
        <bottom style="thin">
          <color indexed="64"/>
        </bottom>
      </border>
    </dxf>
  </rfmt>
  <rfmt sheetId="46" sqref="O5:O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6" sqref="D5:O6">
    <dxf>
      <fill>
        <patternFill>
          <bgColor theme="0" tint="-0.14999847407452621"/>
        </patternFill>
      </fill>
    </dxf>
  </rfmt>
  <rfmt sheetId="46" sqref="O7:O46" start="0" length="0">
    <dxf>
      <border>
        <left style="thin">
          <color indexed="64"/>
        </left>
      </border>
    </dxf>
  </rfmt>
  <rfmt sheetId="46" sqref="O7:O46" start="0" length="0">
    <dxf>
      <border>
        <right style="thin">
          <color indexed="64"/>
        </right>
      </border>
    </dxf>
  </rfmt>
  <rfmt sheetId="46" sqref="O46" start="0" length="0">
    <dxf>
      <border>
        <bottom style="thin">
          <color indexed="64"/>
        </bottom>
      </border>
    </dxf>
  </rfmt>
  <rfmt sheetId="46" sqref="O7:O4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6" sqref="O7:O46" start="0" length="2147483647">
    <dxf>
      <font>
        <b/>
      </font>
    </dxf>
  </rfmt>
  <rfmt sheetId="46" sqref="B5" start="0" length="2147483647">
    <dxf>
      <font>
        <sz val="18"/>
      </font>
    </dxf>
  </rfmt>
  <rfmt sheetId="46" sqref="C5" start="0" length="2147483647">
    <dxf>
      <font>
        <sz val="18"/>
      </font>
    </dxf>
  </rfmt>
  <rfmt sheetId="46" sqref="D5" start="0" length="2147483647">
    <dxf>
      <font>
        <sz val="11"/>
      </font>
    </dxf>
  </rfmt>
  <rfmt sheetId="46" sqref="B5:D5">
    <dxf>
      <alignment vertical="center" readingOrder="0"/>
    </dxf>
  </rfmt>
  <rfmt sheetId="46" sqref="A5" start="0" length="2147483647">
    <dxf>
      <font>
        <sz val="11"/>
      </font>
    </dxf>
  </rfmt>
  <rfmt sheetId="46" sqref="O5" start="0" length="2147483647">
    <dxf>
      <font>
        <b/>
      </font>
    </dxf>
  </rfmt>
  <rfmt sheetId="46" sqref="O5">
    <dxf>
      <alignment vertical="center" readingOrder="0"/>
    </dxf>
  </rfmt>
  <rfmt sheetId="46" sqref="O5" start="0" length="2147483647">
    <dxf>
      <font>
        <sz val="12"/>
      </font>
    </dxf>
  </rfmt>
  <rcc rId="13353" sId="46">
    <nc r="A1" t="inlineStr">
      <is>
        <t xml:space="preserve">ООО "ЦЕНТР-ТИМ"   Платонов Иван 89536104242  centrtim57@mail.ru  </t>
      </is>
    </nc>
  </rcc>
  <rfmt sheetId="46" sqref="A1:O1" start="0" length="2147483647">
    <dxf>
      <font>
        <sz val="14"/>
      </font>
    </dxf>
  </rfmt>
  <rfmt sheetId="46" sqref="A1:O1">
    <dxf>
      <fill>
        <patternFill>
          <bgColor rgb="FF00B0F0"/>
        </patternFill>
      </fill>
    </dxf>
  </rfmt>
  <rfmt sheetId="46" sqref="A1:O1" start="0" length="0">
    <dxf>
      <border>
        <top style="medium">
          <color indexed="64"/>
        </top>
      </border>
    </dxf>
  </rfmt>
  <rfmt sheetId="46" sqref="O1" start="0" length="0">
    <dxf>
      <border>
        <right style="medium">
          <color indexed="64"/>
        </right>
      </border>
    </dxf>
  </rfmt>
  <rfmt sheetId="46" sqref="A1:O1" start="0" length="0">
    <dxf>
      <border>
        <bottom style="medium">
          <color indexed="64"/>
        </bottom>
      </border>
    </dxf>
  </rfmt>
  <rrc rId="13354" sId="46" ref="A4:XFD4" action="deleteRow">
    <rfmt sheetId="46" xfDxf="1" sqref="A4:XFD4" start="0" length="0"/>
    <rfmt sheetId="46" sqref="A4" start="0" length="0">
      <dxf>
        <font>
          <sz val="8"/>
          <color theme="1"/>
          <name val="Calibri"/>
          <scheme val="minor"/>
        </font>
        <numFmt numFmtId="2" formatCode="0.00"/>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B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C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D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E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F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G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H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I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J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K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L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fmt sheetId="46" sqref="M4" start="0" length="0">
      <dxf>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dxf>
    </rfmt>
  </rrc>
  <rfmt sheetId="46" sqref="A5:O5">
    <dxf>
      <fill>
        <patternFill>
          <bgColor rgb="FFFFFF00"/>
        </patternFill>
      </fill>
    </dxf>
  </rfmt>
  <rfmt sheetId="46" sqref="A6:B45" start="0" length="2147483647">
    <dxf>
      <font>
        <b/>
      </font>
    </dxf>
  </rfmt>
  <rcc rId="13355" sId="46">
    <nc r="O4" t="inlineStr">
      <is>
        <t>ЦЕНА, РОЗНИЦА</t>
      </is>
    </nc>
  </rcc>
  <rcc rId="13356" sId="46">
    <nc r="P6">
      <v>246</v>
    </nc>
  </rcc>
  <rfmt sheetId="46" sqref="P6">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indexed="64"/>
        </left>
        <right style="thin">
          <color indexed="64"/>
        </right>
        <top/>
        <bottom/>
      </border>
    </dxf>
  </rfmt>
  <rcc rId="13357" sId="46">
    <nc r="P7">
      <v>235</v>
    </nc>
  </rcc>
  <rfmt sheetId="46" sqref="P7">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indexed="64"/>
        </left>
        <right style="thin">
          <color indexed="64"/>
        </right>
        <top/>
        <bottom/>
      </border>
    </dxf>
  </rfmt>
  <rcc rId="13358" sId="46">
    <nc r="P8">
      <v>200</v>
    </nc>
  </rcc>
  <rfmt sheetId="46" sqref="P8">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indexed="64"/>
        </left>
        <right style="thin">
          <color indexed="64"/>
        </right>
        <top/>
        <bottom/>
      </border>
    </dxf>
  </rfmt>
  <rcc rId="13359" sId="46">
    <nc r="P9">
      <v>350</v>
    </nc>
  </rcc>
  <rfmt sheetId="46" sqref="P9">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0" sId="46">
    <nc r="P10">
      <v>253</v>
    </nc>
  </rcc>
  <rfmt sheetId="46" sqref="P10">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1" sId="46">
    <nc r="P11">
      <v>253</v>
    </nc>
  </rcc>
  <rfmt sheetId="46" sqref="P11">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2" sId="46">
    <nc r="P12">
      <v>253</v>
    </nc>
  </rcc>
  <rfmt sheetId="46" sqref="P12">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3" sId="46">
    <nc r="P13">
      <v>160</v>
    </nc>
  </rcc>
  <rfmt sheetId="46" sqref="P13">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4" sId="46">
    <nc r="P14">
      <v>210</v>
    </nc>
  </rcc>
  <rfmt sheetId="46" sqref="P14">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5" sId="46">
    <nc r="P15">
      <v>292</v>
    </nc>
  </rcc>
  <rfmt sheetId="46" sqref="P15">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6" sId="46">
    <nc r="P16">
      <v>175</v>
    </nc>
  </rcc>
  <rfmt sheetId="46" sqref="P16">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7" sId="46">
    <nc r="P17">
      <v>195</v>
    </nc>
  </rcc>
  <rfmt sheetId="46" sqref="P17">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8" sId="46">
    <nc r="P18">
      <v>355</v>
    </nc>
  </rcc>
  <rfmt sheetId="46" sqref="P18">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69" sId="46">
    <nc r="P19">
      <v>110</v>
    </nc>
  </rcc>
  <rfmt sheetId="46" sqref="P19">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0" sId="46">
    <nc r="P20">
      <v>150</v>
    </nc>
  </rcc>
  <rfmt sheetId="46" sqref="P20">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fmt sheetId="46" sqref="P21">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1" sId="46" numFmtId="4">
    <nc r="P21">
      <v>110</v>
    </nc>
  </rcc>
  <rcc rId="13372" sId="46">
    <nc r="P22">
      <v>170</v>
    </nc>
  </rcc>
  <rfmt sheetId="46" sqref="P22">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3" sId="46">
    <nc r="P23">
      <v>235</v>
    </nc>
  </rcc>
  <rfmt sheetId="46" sqref="P23">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4" sId="46">
    <nc r="P24">
      <v>185</v>
    </nc>
  </rcc>
  <rfmt sheetId="46" sqref="P24">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5" sId="46">
    <nc r="P25">
      <v>215</v>
    </nc>
  </rcc>
  <rfmt sheetId="46" sqref="P25">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6" sId="46">
    <nc r="P26">
      <v>390</v>
    </nc>
  </rcc>
  <rfmt sheetId="46" sqref="P26">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7" sId="46">
    <nc r="P27">
      <v>392</v>
    </nc>
  </rcc>
  <rfmt sheetId="46" sqref="P27">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8" sId="46">
    <nc r="P28">
      <v>392</v>
    </nc>
  </rcc>
  <rfmt sheetId="46" sqref="P28">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79" sId="46">
    <nc r="P29">
      <v>190</v>
    </nc>
  </rcc>
  <rfmt sheetId="46" sqref="P29">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0" sId="46">
    <nc r="P30">
      <v>105</v>
    </nc>
  </rcc>
  <rfmt sheetId="46" sqref="P30">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1" sId="46">
    <nc r="P31">
      <v>150</v>
    </nc>
  </rcc>
  <rfmt sheetId="46" sqref="P31">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2" sId="46">
    <nc r="P32">
      <v>120</v>
    </nc>
  </rcc>
  <rfmt sheetId="46" sqref="P32">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3" sId="46">
    <nc r="P33">
      <v>160</v>
    </nc>
  </rcc>
  <rfmt sheetId="46" sqref="P33">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4" sId="46">
    <nc r="P34">
      <v>135</v>
    </nc>
  </rcc>
  <rfmt sheetId="46" sqref="P34">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5" sId="46">
    <nc r="P35">
      <v>255</v>
    </nc>
  </rcc>
  <rfmt sheetId="46" sqref="P35">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6" sId="46">
    <nc r="P36">
      <v>95</v>
    </nc>
  </rcc>
  <rfmt sheetId="46" sqref="P36">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7" sId="46">
    <nc r="P37">
      <v>170</v>
    </nc>
  </rcc>
  <rfmt sheetId="46" sqref="P37">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8" sId="46">
    <nc r="P38">
      <v>115</v>
    </nc>
  </rcc>
  <rfmt sheetId="46" sqref="P38">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89" sId="46">
    <nc r="P39">
      <v>195</v>
    </nc>
  </rcc>
  <rfmt sheetId="46" sqref="P39">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90" sId="46">
    <nc r="P40">
      <v>120</v>
    </nc>
  </rcc>
  <rfmt sheetId="46" sqref="P40">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91" sId="46">
    <nc r="P41">
      <v>135</v>
    </nc>
  </rcc>
  <rfmt sheetId="46" sqref="P41">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92" sId="46">
    <nc r="P42">
      <v>150</v>
    </nc>
  </rcc>
  <rfmt sheetId="46" sqref="P42">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93" sId="46">
    <nc r="P45">
      <v>150</v>
    </nc>
  </rcc>
  <rfmt sheetId="46" sqref="P45">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94" sId="46">
    <nc r="P43">
      <v>160</v>
    </nc>
  </rcc>
  <rfmt sheetId="46" sqref="P43">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c rId="13395" sId="46">
    <nc r="P44">
      <v>160</v>
    </nc>
  </rcc>
  <rfmt sheetId="46" sqref="P44">
    <dxf>
      <font>
        <b/>
        <i val="0"/>
        <strike val="0"/>
        <condense val="0"/>
        <extend val="0"/>
        <outline val="0"/>
        <shadow val="0"/>
        <u val="none"/>
        <vertAlign val="baseline"/>
        <sz val="8"/>
        <color theme="1"/>
        <name val="Calibri"/>
        <scheme val="minor"/>
      </font>
      <numFmt numFmtId="1" formatCode="0"/>
      <fill>
        <patternFill patternType="none">
          <fgColor indexed="64"/>
          <bgColor indexed="65"/>
        </patternFill>
      </fill>
      <alignment horizontal="general" vertical="top" textRotation="0" wrapText="0" indent="0" relativeIndent="0" justifyLastLine="0" shrinkToFit="0" readingOrder="0"/>
      <border diagonalUp="0" diagonalDown="0" outline="0">
        <left style="thin">
          <color auto="1"/>
        </left>
        <right/>
        <top/>
        <bottom/>
      </border>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rdn>
  <rcv guid="{FBB3E572-A647-4B8C-96C7-F43FE4F7CAA8}" action="add"/>
</revisions>
</file>

<file path=xl/revisions/revisionLog12.xml><?xml version="1.0" encoding="utf-8"?>
<revisions xmlns="http://schemas.openxmlformats.org/spreadsheetml/2006/main" xmlns:r="http://schemas.openxmlformats.org/officeDocument/2006/relationships">
  <ris rId="10691" sheetId="36" name="[ПРАЙС ЦЕНТР-ТИМ 2019 обновленный.xlsx]Лист2" sheetPosition="35"/>
  <rfmt sheetId="36" sqref="A3" start="0" length="0">
    <dxf>
      <font>
        <b/>
        <sz val="11"/>
        <color auto="1"/>
        <name val="Arial Narrow"/>
        <scheme val="none"/>
      </font>
      <fill>
        <patternFill patternType="solid">
          <bgColor theme="0"/>
        </patternFill>
      </fill>
      <alignment horizontal="left" vertical="center" wrapText="1" readingOrder="0"/>
    </dxf>
  </rfmt>
  <rfmt sheetId="36" sqref="B3" start="0" length="0">
    <dxf>
      <alignment vertical="center" wrapText="1" readingOrder="0"/>
    </dxf>
  </rfmt>
  <rfmt sheetId="36" sqref="C3" start="0" length="0">
    <dxf>
      <alignment vertical="center" wrapText="1" readingOrder="0"/>
    </dxf>
  </rfmt>
  <rfmt sheetId="36" sqref="D3" start="0" length="0">
    <dxf>
      <alignment vertical="center" wrapText="1" readingOrder="0"/>
    </dxf>
  </rfmt>
  <rfmt sheetId="36" sqref="E3" start="0" length="0">
    <dxf>
      <alignment vertical="center" wrapText="1" readingOrder="0"/>
    </dxf>
  </rfmt>
  <rfmt sheetId="36" sqref="F3" start="0" length="0">
    <dxf>
      <alignment vertical="center" wrapText="1" readingOrder="0"/>
    </dxf>
  </rfmt>
  <rcc rId="10692" sId="36" odxf="1" dxf="1">
    <nc r="A4" t="inlineStr">
      <is>
        <t>Döcke PIE. Кровельная вентиляция.</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6" sqref="B4" start="0" length="0">
    <dxf>
      <font>
        <b/>
        <sz val="11"/>
        <color theme="1"/>
        <name val="Arial Narrow"/>
        <scheme val="none"/>
      </font>
      <fill>
        <patternFill patternType="solid">
          <bgColor theme="0"/>
        </patternFill>
      </fill>
      <alignment vertical="center" readingOrder="0"/>
    </dxf>
  </rfmt>
  <rfmt sheetId="36" sqref="C4" start="0" length="0">
    <dxf>
      <font>
        <sz val="11"/>
        <color auto="1"/>
        <name val="Arial Narrow"/>
        <scheme val="none"/>
      </font>
      <fill>
        <patternFill patternType="solid">
          <bgColor theme="0"/>
        </patternFill>
      </fill>
      <alignment vertical="center" readingOrder="0"/>
    </dxf>
  </rfmt>
  <rfmt sheetId="36" sqref="D4" start="0" length="0">
    <dxf>
      <font>
        <b/>
        <sz val="11"/>
        <color auto="1"/>
        <name val="Arial Narrow"/>
        <scheme val="none"/>
      </font>
      <fill>
        <patternFill patternType="solid">
          <bgColor theme="0"/>
        </patternFill>
      </fill>
      <alignment horizontal="right" vertical="center" readingOrder="0"/>
    </dxf>
  </rfmt>
  <rfmt sheetId="36" sqref="E4" start="0" length="0">
    <dxf>
      <font>
        <b/>
        <sz val="11"/>
        <color auto="1"/>
        <name val="Arial Narrow"/>
        <scheme val="none"/>
      </font>
      <fill>
        <patternFill patternType="solid">
          <bgColor theme="0"/>
        </patternFill>
      </fill>
      <alignment horizontal="right" vertical="center" readingOrder="0"/>
    </dxf>
  </rfmt>
  <rfmt sheetId="36" sqref="F4" start="0" length="0">
    <dxf>
      <font>
        <b/>
        <sz val="11"/>
        <color auto="1"/>
        <name val="Arial Narrow"/>
        <scheme val="none"/>
      </font>
      <fill>
        <patternFill patternType="solid">
          <bgColor theme="0"/>
        </patternFill>
      </fill>
      <alignment horizontal="right" vertical="center" readingOrder="0"/>
    </dxf>
  </rfmt>
  <rfmt sheetId="36" sqref="A5" start="0" length="0">
    <dxf>
      <font>
        <sz val="11"/>
        <color theme="1"/>
        <name val="Arial Narrow"/>
        <scheme val="none"/>
      </font>
      <fill>
        <patternFill patternType="solid">
          <bgColor theme="0"/>
        </patternFill>
      </fill>
      <alignment vertical="center" readingOrder="0"/>
    </dxf>
  </rfmt>
  <rfmt sheetId="36" sqref="B5" start="0" length="0">
    <dxf>
      <font>
        <sz val="11"/>
        <color theme="1"/>
        <name val="Arial Narrow"/>
        <scheme val="none"/>
      </font>
      <fill>
        <patternFill patternType="solid">
          <bgColor theme="0"/>
        </patternFill>
      </fill>
      <alignment vertical="center" readingOrder="0"/>
    </dxf>
  </rfmt>
  <rfmt sheetId="36" sqref="C5" start="0" length="0">
    <dxf>
      <font>
        <sz val="11"/>
        <color auto="1"/>
        <name val="Arial Narrow"/>
        <scheme val="none"/>
      </font>
      <fill>
        <patternFill patternType="solid">
          <bgColor theme="0"/>
        </patternFill>
      </fill>
      <alignment vertical="center" readingOrder="0"/>
    </dxf>
  </rfmt>
  <rfmt sheetId="36" sqref="D5" start="0" length="0">
    <dxf>
      <font>
        <sz val="11"/>
        <color auto="1"/>
        <name val="Arial Narrow"/>
        <scheme val="none"/>
      </font>
      <fill>
        <patternFill patternType="solid">
          <bgColor theme="0"/>
        </patternFill>
      </fill>
      <alignment vertical="center" readingOrder="0"/>
    </dxf>
  </rfmt>
  <rfmt sheetId="36" sqref="E5" start="0" length="0">
    <dxf>
      <font>
        <sz val="11"/>
        <color auto="1"/>
        <name val="Arial Narrow"/>
        <scheme val="none"/>
      </font>
      <fill>
        <patternFill patternType="solid">
          <bgColor theme="0"/>
        </patternFill>
      </fill>
      <alignment vertical="center" readingOrder="0"/>
    </dxf>
  </rfmt>
  <rfmt sheetId="36" sqref="F5" start="0" length="0">
    <dxf>
      <font>
        <sz val="11"/>
        <color auto="1"/>
        <name val="Arial Narrow"/>
        <scheme val="none"/>
      </font>
      <fill>
        <patternFill patternType="solid">
          <bgColor theme="0"/>
        </patternFill>
      </fill>
      <alignment vertical="center" readingOrder="0"/>
    </dxf>
  </rfmt>
  <rfmt sheetId="36" sqref="A6" start="0" length="0">
    <dxf>
      <font>
        <sz val="11"/>
        <color theme="1"/>
        <name val="Arial Narrow"/>
        <scheme val="none"/>
      </font>
      <fill>
        <patternFill patternType="solid">
          <bgColor rgb="FF92D050"/>
        </patternFill>
      </fill>
      <alignment vertical="center" readingOrder="0"/>
    </dxf>
  </rfmt>
  <rfmt sheetId="36" sqref="B6" start="0" length="0">
    <dxf>
      <font>
        <sz val="11"/>
        <color theme="1"/>
        <name val="Arial Narrow"/>
        <scheme val="none"/>
      </font>
      <fill>
        <patternFill patternType="solid">
          <bgColor rgb="FF92D050"/>
        </patternFill>
      </fill>
      <alignment vertical="center" readingOrder="0"/>
    </dxf>
  </rfmt>
  <rfmt sheetId="36" sqref="C6" start="0" length="0">
    <dxf>
      <font>
        <sz val="11"/>
        <color auto="1"/>
        <name val="Arial Narrow"/>
        <scheme val="none"/>
      </font>
      <fill>
        <patternFill patternType="solid">
          <bgColor theme="0"/>
        </patternFill>
      </fill>
      <alignment vertical="center" readingOrder="0"/>
    </dxf>
  </rfmt>
  <rfmt sheetId="36" sqref="D6" start="0" length="0">
    <dxf>
      <font>
        <b/>
        <sz val="11"/>
        <color auto="1"/>
        <name val="Arial Narrow"/>
        <scheme val="none"/>
      </font>
      <fill>
        <patternFill patternType="solid">
          <bgColor theme="5" tint="0.39997558519241921"/>
        </patternFill>
      </fill>
      <alignment horizontal="center" vertical="center" readingOrder="0"/>
    </dxf>
  </rfmt>
  <rfmt sheetId="36" sqref="E6" start="0" length="0">
    <dxf>
      <font>
        <b/>
        <sz val="11"/>
        <color auto="1"/>
        <name val="Arial Narrow"/>
        <scheme val="none"/>
      </font>
      <fill>
        <patternFill patternType="solid">
          <bgColor rgb="FFFFFF00"/>
        </patternFill>
      </fill>
      <alignment horizontal="center" vertical="center" readingOrder="0"/>
    </dxf>
  </rfmt>
  <rfmt sheetId="36" sqref="F6" start="0" length="0">
    <dxf>
      <font>
        <b/>
        <sz val="11"/>
        <color auto="1"/>
        <name val="Arial Narrow"/>
        <scheme val="none"/>
      </font>
      <fill>
        <patternFill patternType="solid">
          <bgColor rgb="FFCCFFCC"/>
        </patternFill>
      </fill>
      <alignment horizontal="center" vertical="center" readingOrder="0"/>
    </dxf>
  </rfmt>
  <rcc rId="10693" sId="36"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694" sId="36"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1"/>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6" sqref="C7" start="0" length="0">
    <dxf>
      <font>
        <b/>
        <u/>
        <sz val="11"/>
        <color auto="1"/>
        <name val="Arial Narrow"/>
        <scheme val="none"/>
      </font>
      <fill>
        <patternFill patternType="solid">
          <bgColor theme="0"/>
        </patternFill>
      </fill>
      <alignment horizontal="center" vertical="center" wrapText="1" readingOrder="0"/>
    </dxf>
  </rfmt>
  <rcc rId="10695" sId="36"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696" sId="36"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697" sId="36"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6" sqref="A8" start="0" length="0">
    <dxf>
      <font>
        <sz val="11"/>
        <color auto="1"/>
        <name val="Arial Narrow"/>
        <scheme val="none"/>
      </font>
      <fill>
        <patternFill patternType="solid">
          <bgColor theme="0"/>
        </patternFill>
      </fill>
      <alignment vertical="center" readingOrder="0"/>
    </dxf>
  </rfmt>
  <rfmt sheetId="36" sqref="B8" start="0" length="0">
    <dxf>
      <font>
        <sz val="11"/>
        <color auto="1"/>
        <name val="Arial Narrow"/>
        <scheme val="none"/>
      </font>
      <fill>
        <patternFill patternType="solid">
          <bgColor theme="0"/>
        </patternFill>
      </fill>
      <alignment vertical="center" readingOrder="0"/>
    </dxf>
  </rfmt>
  <rfmt sheetId="36" sqref="C8" start="0" length="0">
    <dxf>
      <font>
        <sz val="11"/>
        <color auto="1"/>
        <name val="Arial Narrow"/>
        <scheme val="none"/>
      </font>
      <fill>
        <patternFill patternType="solid">
          <bgColor theme="0"/>
        </patternFill>
      </fill>
      <alignment vertical="center" readingOrder="0"/>
    </dxf>
  </rfmt>
  <rfmt sheetId="36" sqref="D8" start="0" length="0">
    <dxf>
      <font>
        <sz val="11"/>
        <color auto="1"/>
        <name val="Arial Narrow"/>
        <scheme val="none"/>
      </font>
      <fill>
        <patternFill patternType="solid">
          <bgColor theme="0"/>
        </patternFill>
      </fill>
      <alignment vertical="center" readingOrder="0"/>
    </dxf>
  </rfmt>
  <rfmt sheetId="36" sqref="E8" start="0" length="0">
    <dxf>
      <font>
        <sz val="11"/>
        <color auto="1"/>
        <name val="Arial Narrow"/>
        <scheme val="none"/>
      </font>
      <fill>
        <patternFill patternType="solid">
          <bgColor theme="0"/>
        </patternFill>
      </fill>
      <alignment vertical="center" readingOrder="0"/>
    </dxf>
  </rfmt>
  <rfmt sheetId="36" sqref="F8" start="0" length="0">
    <dxf>
      <font>
        <sz val="11"/>
        <color auto="1"/>
        <name val="Arial Narrow"/>
        <scheme val="none"/>
      </font>
      <fill>
        <patternFill patternType="solid">
          <bgColor theme="0"/>
        </patternFill>
      </fill>
      <alignment vertical="center" readingOrder="0"/>
    </dxf>
  </rfmt>
  <rcc rId="10698" sId="36" odxf="1" dxf="1">
    <nc r="A9" t="inlineStr">
      <is>
        <t>Коньковый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699" sId="36"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6" sqref="C9" start="0" length="0">
    <dxf>
      <font>
        <b/>
        <sz val="11"/>
        <color auto="1"/>
        <name val="Arial Narrow"/>
        <scheme val="none"/>
      </font>
      <numFmt numFmtId="2" formatCode="0.00"/>
      <fill>
        <patternFill patternType="solid">
          <bgColor theme="0"/>
        </patternFill>
      </fill>
      <alignment horizontal="center" vertical="center" readingOrder="0"/>
    </dxf>
  </rfmt>
  <rfmt sheetId="36"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6"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6"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700" sId="36" odxf="1" dxf="1">
    <nc r="A10" t="inlineStr">
      <is>
        <t>Аэратор коньковый Döcke PIE, 1 п.м.</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01" sId="36" odxf="1" dxf="1">
    <nc r="B10">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0" start="0" length="0">
    <dxf>
      <font>
        <sz val="11"/>
        <color auto="1"/>
        <name val="Arial Narrow"/>
        <scheme val="none"/>
      </font>
      <fill>
        <patternFill patternType="solid">
          <bgColor theme="0"/>
        </patternFill>
      </fill>
      <alignment horizontal="center" vertical="center" readingOrder="0"/>
    </dxf>
  </rfmt>
  <rcc rId="10702" sId="36" odxf="1" dxf="1">
    <nc r="D10" t="inlineStr">
      <is>
        <t>389,08р.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3" sId="36" odxf="1" dxf="1">
    <nc r="E10" t="inlineStr">
      <is>
        <t>454,77р.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4" sId="36" odxf="1" dxf="1">
    <nc r="F10" t="inlineStr">
      <is>
        <t>505,30р.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705" sId="36" odxf="1" dxf="1">
    <nc r="A11" t="inlineStr">
      <is>
        <t>Фильтр для конькового аэратора Döcke, уп=12 шт</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06" sId="36" odxf="1" dxf="1">
    <nc r="B11">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1" start="0" length="0">
    <dxf>
      <font>
        <sz val="11"/>
        <color auto="1"/>
        <name val="Arial Narrow"/>
        <scheme val="none"/>
      </font>
      <fill>
        <patternFill patternType="solid">
          <bgColor theme="0"/>
        </patternFill>
      </fill>
      <alignment horizontal="center" vertical="center" readingOrder="0"/>
    </dxf>
  </rfmt>
  <rcc rId="10707" sId="36" odxf="1" dxf="1">
    <nc r="D11" t="inlineStr">
      <is>
        <t>63,25р.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8" sId="36" odxf="1" dxf="1">
    <nc r="E11" t="inlineStr">
      <is>
        <t>73,93р.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9" sId="36" odxf="1" dxf="1">
    <nc r="F11" t="inlineStr">
      <is>
        <t>82,15р.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6" sqref="A12" start="0" length="0">
    <dxf>
      <font>
        <sz val="11"/>
        <color auto="1"/>
        <name val="Arial Narrow"/>
        <scheme val="none"/>
      </font>
      <fill>
        <patternFill patternType="solid">
          <bgColor theme="0"/>
        </patternFill>
      </fill>
      <alignment vertical="center" readingOrder="0"/>
    </dxf>
  </rfmt>
  <rfmt sheetId="36" sqref="B12" start="0" length="0">
    <dxf>
      <font>
        <sz val="11"/>
        <color auto="1"/>
        <name val="Arial Narrow"/>
        <scheme val="none"/>
      </font>
      <fill>
        <patternFill patternType="solid">
          <bgColor theme="0"/>
        </patternFill>
      </fill>
      <alignment vertical="center" readingOrder="0"/>
    </dxf>
  </rfmt>
  <rfmt sheetId="36" sqref="C12" start="0" length="0">
    <dxf>
      <font>
        <sz val="11"/>
        <color auto="1"/>
        <name val="Arial Narrow"/>
        <scheme val="none"/>
      </font>
      <fill>
        <patternFill patternType="solid">
          <bgColor theme="0"/>
        </patternFill>
      </fill>
      <alignment vertical="center" readingOrder="0"/>
    </dxf>
  </rfmt>
  <rfmt sheetId="36" sqref="D12" start="0" length="0">
    <dxf>
      <font>
        <sz val="11"/>
        <color auto="1"/>
        <name val="Arial Narrow"/>
        <scheme val="none"/>
      </font>
      <numFmt numFmtId="13" formatCode="0%"/>
      <fill>
        <patternFill patternType="solid">
          <bgColor theme="9" tint="0.79998168889431442"/>
        </patternFill>
      </fill>
      <alignment vertical="center" readingOrder="0"/>
    </dxf>
  </rfmt>
  <rfmt sheetId="36" sqref="E12" start="0" length="0">
    <dxf>
      <font>
        <sz val="11"/>
        <color auto="1"/>
        <name val="Arial Narrow"/>
        <scheme val="none"/>
      </font>
      <numFmt numFmtId="13" formatCode="0%"/>
      <fill>
        <patternFill patternType="solid">
          <bgColor theme="9" tint="0.79998168889431442"/>
        </patternFill>
      </fill>
      <alignment vertical="center" readingOrder="0"/>
    </dxf>
  </rfmt>
  <rfmt sheetId="36" sqref="F12" start="0" length="0">
    <dxf>
      <font>
        <sz val="11"/>
        <color auto="1"/>
        <name val="Arial Narrow"/>
        <scheme val="none"/>
      </font>
      <numFmt numFmtId="13" formatCode="0%"/>
      <fill>
        <patternFill patternType="solid">
          <bgColor theme="9" tint="0.79998168889431442"/>
        </patternFill>
      </fill>
      <alignment vertical="center" readingOrder="0"/>
    </dxf>
  </rfmt>
  <rfmt sheetId="36" sqref="A13" start="0" length="0">
    <dxf>
      <font>
        <sz val="11"/>
        <color auto="1"/>
        <name val="Arial Narrow"/>
        <scheme val="none"/>
      </font>
      <fill>
        <patternFill patternType="solid">
          <bgColor theme="0"/>
        </patternFill>
      </fill>
      <alignment vertical="center" readingOrder="0"/>
    </dxf>
  </rfmt>
  <rfmt sheetId="36" sqref="B13" start="0" length="0">
    <dxf>
      <font>
        <sz val="11"/>
        <color auto="1"/>
        <name val="Arial Narrow"/>
        <scheme val="none"/>
      </font>
      <fill>
        <patternFill patternType="solid">
          <bgColor theme="0"/>
        </patternFill>
      </fill>
      <alignment vertical="center" readingOrder="0"/>
    </dxf>
  </rfmt>
  <rfmt sheetId="36" sqref="C13" start="0" length="0">
    <dxf>
      <font>
        <sz val="11"/>
        <color auto="1"/>
        <name val="Arial Narrow"/>
        <scheme val="none"/>
      </font>
      <fill>
        <patternFill patternType="solid">
          <bgColor theme="0"/>
        </patternFill>
      </fill>
      <alignment vertical="center" readingOrder="0"/>
    </dxf>
  </rfmt>
  <rfmt sheetId="36" sqref="D13" start="0" length="0">
    <dxf>
      <font>
        <sz val="11"/>
        <color auto="1"/>
        <name val="Arial Narrow"/>
        <scheme val="none"/>
      </font>
      <numFmt numFmtId="13" formatCode="0%"/>
      <fill>
        <patternFill patternType="solid">
          <bgColor theme="0"/>
        </patternFill>
      </fill>
      <alignment vertical="center" readingOrder="0"/>
    </dxf>
  </rfmt>
  <rfmt sheetId="36" sqref="E13" start="0" length="0">
    <dxf>
      <font>
        <sz val="11"/>
        <color auto="1"/>
        <name val="Arial Narrow"/>
        <scheme val="none"/>
      </font>
      <numFmt numFmtId="13" formatCode="0%"/>
      <fill>
        <patternFill patternType="solid">
          <bgColor theme="0"/>
        </patternFill>
      </fill>
      <alignment vertical="center" readingOrder="0"/>
    </dxf>
  </rfmt>
  <rfmt sheetId="36" sqref="F13" start="0" length="0">
    <dxf>
      <font>
        <sz val="11"/>
        <color auto="1"/>
        <name val="Arial Narrow"/>
        <scheme val="none"/>
      </font>
      <numFmt numFmtId="13" formatCode="0%"/>
      <fill>
        <patternFill patternType="solid">
          <bgColor theme="0"/>
        </patternFill>
      </fill>
      <alignment vertical="center" readingOrder="0"/>
    </dxf>
  </rfmt>
  <rcc rId="10710" sId="36" odxf="1" dxf="1">
    <nc r="A14" t="inlineStr">
      <is>
        <t>Аэратор точечный Döcke PIE NEXT,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11" sId="36" odxf="1" dxf="1">
    <nc r="B14">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4" start="0" length="0">
    <dxf>
      <font>
        <sz val="11"/>
        <color auto="1"/>
        <name val="Arial Narrow"/>
        <scheme val="none"/>
      </font>
      <fill>
        <patternFill patternType="solid">
          <bgColor theme="0"/>
        </patternFill>
      </fill>
      <alignment horizontal="center" vertical="center" readingOrder="0"/>
    </dxf>
  </rfmt>
  <rcc rId="10712" sId="36" odxf="1" dxf="1">
    <nc r="D14"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3" sId="36" odxf="1" dxf="1">
    <nc r="E14"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4" sId="36" odxf="1" dxf="1">
    <nc r="F14"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715" sId="36" odxf="1" dxf="1">
    <nc r="A15" t="inlineStr">
      <is>
        <t>Аэратор точечный Döcke PIE ROOT,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16" sId="36" odxf="1" dxf="1">
    <nc r="B15">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5" start="0" length="0">
    <dxf>
      <font>
        <sz val="11"/>
        <color auto="1"/>
        <name val="Arial Narrow"/>
        <scheme val="none"/>
      </font>
      <fill>
        <patternFill patternType="solid">
          <bgColor theme="0"/>
        </patternFill>
      </fill>
      <alignment horizontal="center" vertical="center" readingOrder="0"/>
    </dxf>
  </rfmt>
  <rcc rId="10717" sId="36" odxf="1" dxf="1">
    <nc r="D15" t="inlineStr">
      <is>
        <t>799,30р.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8" sId="36" odxf="1" dxf="1">
    <nc r="E15" t="inlineStr">
      <is>
        <t>905,87р.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9" sId="36" odxf="1" dxf="1">
    <nc r="F15" t="inlineStr">
      <is>
        <t>1 065,73р.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720" sId="36" odxf="1" dxf="1">
    <nc r="A16" t="inlineStr">
      <is>
        <t>Аэратор точечный Döcke PIE MONTERREY,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21" sId="36" odxf="1" dxf="1">
    <nc r="B16">
      <v>8</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6" start="0" length="0">
    <dxf>
      <font>
        <sz val="11"/>
        <color auto="1"/>
        <name val="Arial Narrow"/>
        <scheme val="none"/>
      </font>
      <fill>
        <patternFill patternType="solid">
          <bgColor theme="0"/>
        </patternFill>
      </fill>
      <alignment horizontal="center" vertical="center" readingOrder="0"/>
    </dxf>
  </rfmt>
  <rcc rId="10722" sId="36" odxf="1" dxf="1">
    <nc r="D16"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23" sId="36" odxf="1" dxf="1">
    <nc r="E16"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24" sId="36" odxf="1" dxf="1">
    <nc r="F16"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fmt sheetId="36" sqref="A17" start="0" length="0">
    <dxf>
      <font>
        <sz val="11"/>
        <color auto="1"/>
        <name val="Arial Narrow"/>
        <scheme val="none"/>
      </font>
      <fill>
        <patternFill patternType="solid">
          <bgColor theme="0"/>
        </patternFill>
      </fill>
      <alignment vertical="center" readingOrder="0"/>
    </dxf>
  </rfmt>
  <rfmt sheetId="36" sqref="B17" start="0" length="0">
    <dxf>
      <font>
        <sz val="11"/>
        <color auto="1"/>
        <name val="Arial Narrow"/>
        <scheme val="none"/>
      </font>
      <fill>
        <patternFill patternType="solid">
          <bgColor theme="0"/>
        </patternFill>
      </fill>
      <alignment vertical="center" readingOrder="0"/>
    </dxf>
  </rfmt>
  <rfmt sheetId="36" sqref="C17" start="0" length="0">
    <dxf>
      <font>
        <sz val="11"/>
        <color auto="1"/>
        <name val="Arial Narrow"/>
        <scheme val="none"/>
      </font>
      <fill>
        <patternFill patternType="solid">
          <bgColor theme="0"/>
        </patternFill>
      </fill>
      <alignment vertical="center" readingOrder="0"/>
    </dxf>
  </rfmt>
  <rfmt sheetId="36" sqref="D17" start="0" length="0">
    <dxf>
      <font>
        <sz val="11"/>
        <color auto="1"/>
        <name val="Arial Narrow"/>
        <scheme val="none"/>
      </font>
      <numFmt numFmtId="13" formatCode="0%"/>
      <fill>
        <patternFill patternType="solid">
          <bgColor theme="9" tint="0.79998168889431442"/>
        </patternFill>
      </fill>
      <alignment vertical="center" readingOrder="0"/>
    </dxf>
  </rfmt>
  <rfmt sheetId="36" sqref="E17" start="0" length="0">
    <dxf>
      <font>
        <sz val="11"/>
        <color auto="1"/>
        <name val="Arial Narrow"/>
        <scheme val="none"/>
      </font>
      <numFmt numFmtId="13" formatCode="0%"/>
      <fill>
        <patternFill patternType="solid">
          <bgColor theme="9" tint="0.79998168889431442"/>
        </patternFill>
      </fill>
      <alignment vertical="center" readingOrder="0"/>
    </dxf>
  </rfmt>
  <rfmt sheetId="36" sqref="F17" start="0" length="0">
    <dxf>
      <font>
        <sz val="11"/>
        <color auto="1"/>
        <name val="Arial Narrow"/>
        <scheme val="none"/>
      </font>
      <numFmt numFmtId="13" formatCode="0%"/>
      <fill>
        <patternFill patternType="solid">
          <bgColor theme="9" tint="0.79998168889431442"/>
        </patternFill>
      </fill>
      <alignment vertical="center" readingOrder="0"/>
    </dxf>
  </rfmt>
  <rfmt sheetId="36" sqref="A18" start="0" length="0">
    <dxf>
      <font>
        <sz val="11"/>
        <color auto="1"/>
        <name val="Arial Narrow"/>
        <scheme val="none"/>
      </font>
      <fill>
        <patternFill patternType="solid">
          <bgColor theme="0"/>
        </patternFill>
      </fill>
      <alignment vertical="center" readingOrder="0"/>
    </dxf>
  </rfmt>
  <rfmt sheetId="36" sqref="B18" start="0" length="0">
    <dxf>
      <font>
        <sz val="11"/>
        <color auto="1"/>
        <name val="Arial Narrow"/>
        <scheme val="none"/>
      </font>
      <fill>
        <patternFill patternType="solid">
          <bgColor theme="0"/>
        </patternFill>
      </fill>
      <alignment vertical="center" readingOrder="0"/>
    </dxf>
  </rfmt>
  <rfmt sheetId="36" sqref="C18" start="0" length="0">
    <dxf>
      <font>
        <sz val="11"/>
        <color auto="1"/>
        <name val="Arial Narrow"/>
        <scheme val="none"/>
      </font>
      <fill>
        <patternFill patternType="solid">
          <bgColor theme="0"/>
        </patternFill>
      </fill>
      <alignment vertical="center" readingOrder="0"/>
    </dxf>
  </rfmt>
  <rfmt sheetId="36" sqref="D18" start="0" length="0">
    <dxf>
      <font>
        <sz val="11"/>
        <color auto="1"/>
        <name val="Arial Narrow"/>
        <scheme val="none"/>
      </font>
      <numFmt numFmtId="13" formatCode="0%"/>
      <fill>
        <patternFill patternType="solid">
          <bgColor theme="0"/>
        </patternFill>
      </fill>
      <alignment vertical="center" readingOrder="0"/>
    </dxf>
  </rfmt>
  <rfmt sheetId="36" sqref="E18" start="0" length="0">
    <dxf>
      <font>
        <sz val="11"/>
        <color auto="1"/>
        <name val="Arial Narrow"/>
        <scheme val="none"/>
      </font>
      <numFmt numFmtId="13" formatCode="0%"/>
      <fill>
        <patternFill patternType="solid">
          <bgColor theme="0"/>
        </patternFill>
      </fill>
      <alignment vertical="center" readingOrder="0"/>
    </dxf>
  </rfmt>
  <rfmt sheetId="36" sqref="F18" start="0" length="0">
    <dxf>
      <font>
        <sz val="11"/>
        <color auto="1"/>
        <name val="Arial Narrow"/>
        <scheme val="none"/>
      </font>
      <numFmt numFmtId="13" formatCode="0%"/>
      <fill>
        <patternFill patternType="solid">
          <bgColor theme="0"/>
        </patternFill>
      </fill>
      <alignment vertical="center" readingOrder="0"/>
    </dxf>
  </rfmt>
  <rcc rId="10725" sId="36" odxf="1" dxf="1">
    <nc r="A19" t="inlineStr">
      <is>
        <t>Аэратор точечный Döcke PIE NEXT,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26" sId="36" odxf="1" dxf="1">
    <nc r="B19">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9" start="0" length="0">
    <dxf>
      <font>
        <sz val="11"/>
        <color auto="1"/>
        <name val="Arial Narrow"/>
        <scheme val="none"/>
      </font>
      <fill>
        <patternFill patternType="solid">
          <bgColor theme="0"/>
        </patternFill>
      </fill>
      <alignment horizontal="center" vertical="center" readingOrder="0"/>
    </dxf>
  </rfmt>
  <rfmt sheetId="36" sqref="D19"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E19"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F19"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dxf>
  </rfmt>
  <rcc rId="10727" sId="36" odxf="1" dxf="1">
    <nc r="A20" t="inlineStr">
      <is>
        <t>Аэратор точечный Döcke PIE ROOT,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28" sId="36" odxf="1" dxf="1">
    <nc r="B20">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20" start="0" length="0">
    <dxf>
      <font>
        <sz val="11"/>
        <color auto="1"/>
        <name val="Arial Narrow"/>
        <scheme val="none"/>
      </font>
      <fill>
        <patternFill patternType="solid">
          <bgColor theme="0"/>
        </patternFill>
      </fill>
      <alignment horizontal="center" vertical="center" readingOrder="0"/>
    </dxf>
  </rfmt>
  <rfmt sheetId="36" sqref="D20"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E20"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F20"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fmt sheetId="36" sqref="A21" start="0" length="0">
    <dxf>
      <font>
        <sz val="11"/>
        <color auto="1"/>
        <name val="Arial Narrow"/>
        <scheme val="none"/>
      </font>
      <fill>
        <patternFill patternType="solid">
          <bgColor theme="0"/>
        </patternFill>
      </fill>
      <alignment vertical="center" readingOrder="0"/>
    </dxf>
  </rfmt>
  <rfmt sheetId="36" sqref="B21" start="0" length="0">
    <dxf>
      <font>
        <sz val="11"/>
        <color auto="1"/>
        <name val="Arial Narrow"/>
        <scheme val="none"/>
      </font>
      <fill>
        <patternFill patternType="solid">
          <bgColor theme="0"/>
        </patternFill>
      </fill>
      <alignment vertical="center" readingOrder="0"/>
    </dxf>
  </rfmt>
  <rfmt sheetId="36" sqref="C21" start="0" length="0">
    <dxf>
      <font>
        <sz val="11"/>
        <color auto="1"/>
        <name val="Arial Narrow"/>
        <scheme val="none"/>
      </font>
      <fill>
        <patternFill patternType="solid">
          <bgColor theme="0"/>
        </patternFill>
      </fill>
      <alignment vertical="center" readingOrder="0"/>
    </dxf>
  </rfmt>
  <rfmt sheetId="36" sqref="D21" start="0" length="0">
    <dxf>
      <font>
        <sz val="11"/>
        <color auto="1"/>
        <name val="Arial Narrow"/>
        <scheme val="none"/>
      </font>
      <numFmt numFmtId="13" formatCode="0%"/>
      <fill>
        <patternFill patternType="solid">
          <bgColor theme="9" tint="0.79998168889431442"/>
        </patternFill>
      </fill>
      <alignment vertical="center" readingOrder="0"/>
    </dxf>
  </rfmt>
  <rfmt sheetId="36" sqref="E21" start="0" length="0">
    <dxf>
      <font>
        <sz val="11"/>
        <color auto="1"/>
        <name val="Arial Narrow"/>
        <scheme val="none"/>
      </font>
      <numFmt numFmtId="13" formatCode="0%"/>
      <fill>
        <patternFill patternType="solid">
          <bgColor theme="9" tint="0.79998168889431442"/>
        </patternFill>
      </fill>
      <alignment vertical="center" readingOrder="0"/>
    </dxf>
  </rfmt>
  <rfmt sheetId="36" sqref="F21" start="0" length="0">
    <dxf>
      <font>
        <sz val="11"/>
        <color auto="1"/>
        <name val="Arial Narrow"/>
        <scheme val="none"/>
      </font>
      <numFmt numFmtId="13" formatCode="0%"/>
      <fill>
        <patternFill patternType="solid">
          <bgColor theme="9" tint="0.79998168889431442"/>
        </patternFill>
      </fill>
      <alignment vertical="center" readingOrder="0"/>
    </dxf>
  </rfmt>
  <rfmt sheetId="36" sqref="A22" start="0" length="0">
    <dxf>
      <font>
        <sz val="11"/>
        <color auto="1"/>
        <name val="Arial Narrow"/>
        <scheme val="none"/>
      </font>
      <fill>
        <patternFill patternType="solid">
          <bgColor theme="0"/>
        </patternFill>
      </fill>
      <alignment vertical="center" readingOrder="0"/>
    </dxf>
  </rfmt>
  <rfmt sheetId="36" sqref="B22" start="0" length="0">
    <dxf>
      <font>
        <sz val="11"/>
        <color auto="1"/>
        <name val="Arial Narrow"/>
        <scheme val="none"/>
      </font>
      <fill>
        <patternFill patternType="solid">
          <bgColor theme="0"/>
        </patternFill>
      </fill>
      <alignment vertical="center" readingOrder="0"/>
    </dxf>
  </rfmt>
  <rfmt sheetId="36" sqref="C22" start="0" length="0">
    <dxf>
      <font>
        <sz val="11"/>
        <color auto="1"/>
        <name val="Arial Narrow"/>
        <scheme val="none"/>
      </font>
      <fill>
        <patternFill patternType="solid">
          <bgColor theme="0"/>
        </patternFill>
      </fill>
      <alignment vertical="center" readingOrder="0"/>
    </dxf>
  </rfmt>
  <rfmt sheetId="36" sqref="D22" start="0" length="0">
    <dxf>
      <font>
        <sz val="11"/>
        <color auto="1"/>
        <name val="Arial Narrow"/>
        <scheme val="none"/>
      </font>
      <fill>
        <patternFill patternType="solid">
          <bgColor theme="0"/>
        </patternFill>
      </fill>
      <alignment vertical="center" readingOrder="0"/>
    </dxf>
  </rfmt>
  <rfmt sheetId="36" sqref="E22" start="0" length="0">
    <dxf>
      <font>
        <b/>
        <sz val="11"/>
        <color auto="1"/>
        <name val="Arial Narrow"/>
        <scheme val="none"/>
      </font>
      <fill>
        <patternFill patternType="solid">
          <bgColor theme="0"/>
        </patternFill>
      </fill>
      <alignment vertical="center" readingOrder="0"/>
    </dxf>
  </rfmt>
  <rcc rId="10729" sId="36" odxf="1" dxf="1">
    <nc r="F22"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rc rId="10730" sId="36" ref="A5:XFD5" action="deleteRow">
    <rfmt sheetId="36" xfDxf="1" sqref="A5:XFD5" start="0" length="0"/>
    <rfmt sheetId="36" sqref="A5" start="0" length="0">
      <dxf>
        <font>
          <sz val="11"/>
          <color theme="1"/>
          <name val="Arial Narrow"/>
          <scheme val="none"/>
        </font>
        <fill>
          <patternFill patternType="solid">
            <bgColor theme="0"/>
          </patternFill>
        </fill>
        <alignment vertical="center" readingOrder="0"/>
      </dxf>
    </rfmt>
    <rfmt sheetId="36" sqref="B5" start="0" length="0">
      <dxf>
        <font>
          <sz val="11"/>
          <color theme="1"/>
          <name val="Arial Narrow"/>
          <scheme val="none"/>
        </font>
        <fill>
          <patternFill patternType="solid">
            <bgColor theme="0"/>
          </patternFill>
        </fill>
        <alignment vertical="center" readingOrder="0"/>
      </dxf>
    </rfmt>
    <rfmt sheetId="36" sqref="C5" start="0" length="0">
      <dxf>
        <font>
          <sz val="11"/>
          <color auto="1"/>
          <name val="Arial Narrow"/>
          <scheme val="none"/>
        </font>
        <fill>
          <patternFill patternType="solid">
            <bgColor theme="0"/>
          </patternFill>
        </fill>
        <alignment vertical="center" readingOrder="0"/>
      </dxf>
    </rfmt>
    <rfmt sheetId="36" sqref="D5" start="0" length="0">
      <dxf>
        <font>
          <sz val="11"/>
          <color auto="1"/>
          <name val="Arial Narrow"/>
          <scheme val="none"/>
        </font>
        <fill>
          <patternFill patternType="solid">
            <bgColor theme="0"/>
          </patternFill>
        </fill>
        <alignment vertical="center" readingOrder="0"/>
      </dxf>
    </rfmt>
    <rfmt sheetId="36" sqref="E5" start="0" length="0">
      <dxf>
        <font>
          <sz val="11"/>
          <color auto="1"/>
          <name val="Arial Narrow"/>
          <scheme val="none"/>
        </font>
        <fill>
          <patternFill patternType="solid">
            <bgColor theme="0"/>
          </patternFill>
        </fill>
        <alignment vertical="center" readingOrder="0"/>
      </dxf>
    </rfmt>
    <rfmt sheetId="36" sqref="F5" start="0" length="0">
      <dxf>
        <font>
          <sz val="11"/>
          <color auto="1"/>
          <name val="Arial Narrow"/>
          <scheme val="none"/>
        </font>
        <fill>
          <patternFill patternType="solid">
            <bgColor theme="0"/>
          </patternFill>
        </fill>
        <alignment vertical="center" readingOrder="0"/>
      </dxf>
    </rfmt>
  </rrc>
  <rrc rId="10731" sId="36" ref="A3:XFD3" action="deleteRow">
    <rfmt sheetId="36" xfDxf="1" sqref="A3:XFD3" start="0" length="0"/>
    <rfmt sheetId="36" sqref="A3" start="0" length="0">
      <dxf>
        <font>
          <b/>
          <sz val="11"/>
          <color auto="1"/>
          <name val="Arial Narrow"/>
          <scheme val="none"/>
        </font>
        <fill>
          <patternFill patternType="solid">
            <bgColor theme="0"/>
          </patternFill>
        </fill>
        <alignment horizontal="left" vertical="center" wrapText="1" readingOrder="0"/>
      </dxf>
    </rfmt>
    <rfmt sheetId="36" sqref="B3" start="0" length="0">
      <dxf>
        <alignment vertical="center" wrapText="1" readingOrder="0"/>
      </dxf>
    </rfmt>
    <rfmt sheetId="36" sqref="C3" start="0" length="0">
      <dxf>
        <alignment vertical="center" wrapText="1" readingOrder="0"/>
      </dxf>
    </rfmt>
    <rfmt sheetId="36" sqref="D3" start="0" length="0">
      <dxf>
        <alignment vertical="center" wrapText="1" readingOrder="0"/>
      </dxf>
    </rfmt>
    <rfmt sheetId="36" sqref="E3" start="0" length="0">
      <dxf>
        <alignment vertical="center" wrapText="1" readingOrder="0"/>
      </dxf>
    </rfmt>
    <rfmt sheetId="36" sqref="F3" start="0" length="0">
      <dxf>
        <alignment vertical="center" wrapText="1" readingOrder="0"/>
      </dxf>
    </rfmt>
  </rrc>
  <rcc rId="10732" sId="36"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6"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6" sqref="A1:F1" start="0" length="2147483647">
    <dxf>
      <font>
        <sz val="18"/>
      </font>
    </dxf>
  </rfmt>
  <rrc rId="10733" sId="36" ref="A2:XFD2" action="deleteRow">
    <rfmt sheetId="36"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20.xml><?xml version="1.0" encoding="utf-8"?>
<revisions xmlns="http://schemas.openxmlformats.org/spreadsheetml/2006/main" xmlns:r="http://schemas.openxmlformats.org/officeDocument/2006/relationships">
  <rfmt sheetId="47" sqref="A5" start="0" length="0">
    <dxf>
      <border>
        <left style="medium">
          <color indexed="64"/>
        </left>
      </border>
    </dxf>
  </rfmt>
  <rfmt sheetId="47" sqref="A5:E5" start="0" length="0">
    <dxf>
      <border>
        <top style="medium">
          <color indexed="64"/>
        </top>
      </border>
    </dxf>
  </rfmt>
  <rfmt sheetId="47" sqref="E5" start="0" length="0">
    <dxf>
      <border>
        <right style="medium">
          <color indexed="64"/>
        </right>
      </border>
    </dxf>
  </rfmt>
  <rfmt sheetId="47" sqref="A5:E5" start="0" length="0">
    <dxf>
      <border>
        <bottom style="medium">
          <color indexed="64"/>
        </bottom>
      </border>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20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21.xml><?xml version="1.0" encoding="utf-8"?>
<revisions xmlns="http://schemas.openxmlformats.org/spreadsheetml/2006/main" xmlns:r="http://schemas.openxmlformats.org/officeDocument/2006/relationships">
  <rcc rId="14294" sId="47" odxf="1" dxf="1">
    <nc r="A3" t="inlineStr">
      <is>
        <r>
          <rPr>
            <b/>
            <sz val="10"/>
            <color theme="1"/>
            <rFont val="Palatino Linotype"/>
            <family val="1"/>
            <charset val="204"/>
          </rPr>
          <t>ООО "ЦЕНТР-ТИМ"</t>
        </r>
        <r>
          <rPr>
            <sz val="10"/>
            <color theme="1"/>
            <rFont val="Palatino Linotype"/>
            <family val="1"/>
            <charset val="204"/>
          </rPr>
          <t xml:space="preserve">   89536104242 Платонов Иван</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is>
    </nc>
    <odxf>
      <font>
        <sz val="20"/>
        <color rgb="FF000000"/>
        <name val="Times New Roman"/>
        <scheme val="none"/>
      </font>
      <alignment horizontal="right" readingOrder="0"/>
      <border outline="0">
        <bottom/>
      </border>
      <protection hidden="0"/>
    </odxf>
    <ndxf>
      <font>
        <sz val="10"/>
        <color rgb="FF000000"/>
        <name val="Palatino Linotype"/>
        <scheme val="none"/>
      </font>
      <alignment horizontal="general" readingOrder="0"/>
      <border outline="0">
        <bottom style="medium">
          <color indexed="64"/>
        </bottom>
      </border>
      <protection hidden="1"/>
    </ndxf>
  </rcc>
  <rfmt sheetId="47" sqref="B3" start="0" length="0">
    <dxf>
      <font>
        <sz val="10"/>
        <color rgb="FF000000"/>
        <name val="Palatino Linotype"/>
        <scheme val="none"/>
      </font>
      <alignment horizontal="general" readingOrder="0"/>
      <border outline="0">
        <bottom style="medium">
          <color indexed="64"/>
        </bottom>
      </border>
      <protection hidden="1"/>
    </dxf>
  </rfmt>
  <rfmt sheetId="47" sqref="C3" start="0" length="0">
    <dxf>
      <font>
        <sz val="10"/>
        <color rgb="FF000000"/>
        <name val="Palatino Linotype"/>
        <scheme val="none"/>
      </font>
      <alignment horizontal="general" readingOrder="0"/>
      <border outline="0">
        <bottom style="medium">
          <color indexed="64"/>
        </bottom>
      </border>
      <protection hidden="1"/>
    </dxf>
  </rfmt>
  <rfmt sheetId="47" sqref="D3" start="0" length="0">
    <dxf>
      <font>
        <sz val="10"/>
        <color rgb="FF000000"/>
        <name val="Palatino Linotype"/>
        <scheme val="none"/>
      </font>
      <alignment horizontal="general" readingOrder="0"/>
      <border outline="0">
        <bottom style="medium">
          <color indexed="64"/>
        </bottom>
      </border>
      <protection hidden="1"/>
    </dxf>
  </rfmt>
  <rfmt sheetId="47" sqref="E3" start="0" length="0">
    <dxf>
      <font>
        <sz val="10"/>
        <color theme="1"/>
        <name val="Palatino Linotype"/>
        <scheme val="none"/>
      </font>
      <alignment vertical="top" readingOrder="0"/>
      <border outline="0">
        <bottom style="medium">
          <color indexed="64"/>
        </bottom>
      </border>
      <protection hidden="1"/>
    </dxf>
  </rfmt>
  <rfmt sheetId="47" sqref="F3" start="0" length="0">
    <dxf>
      <font>
        <sz val="10"/>
        <color theme="1"/>
        <name val="Palatino Linotype"/>
        <scheme val="none"/>
      </font>
      <alignment vertical="top" readingOrder="0"/>
      <border outline="0">
        <bottom style="medium">
          <color indexed="64"/>
        </bottom>
      </border>
      <protection hidden="1"/>
    </dxf>
  </rfmt>
  <rfmt sheetId="47" sqref="G3" start="0" length="0">
    <dxf>
      <font>
        <sz val="10"/>
        <color theme="1"/>
        <name val="Palatino Linotype"/>
        <scheme val="none"/>
      </font>
      <alignment vertical="top" readingOrder="0"/>
      <border outline="0">
        <bottom style="medium">
          <color indexed="64"/>
        </bottom>
      </border>
      <protection hidden="1"/>
    </dxf>
  </rfmt>
  <rfmt sheetId="47" sqref="H3" start="0" length="0">
    <dxf>
      <font>
        <sz val="10"/>
        <color theme="1"/>
        <name val="Palatino Linotype"/>
        <scheme val="none"/>
      </font>
      <alignment vertical="top" readingOrder="0"/>
      <border outline="0">
        <bottom style="medium">
          <color indexed="64"/>
        </bottom>
      </border>
      <protection hidden="1"/>
    </dxf>
  </rfmt>
  <rfmt sheetId="47" sqref="I3" start="0" length="0">
    <dxf>
      <font>
        <sz val="10"/>
        <color theme="1"/>
        <name val="Palatino Linotype"/>
        <scheme val="none"/>
      </font>
      <alignment vertical="top" readingOrder="0"/>
      <border outline="0">
        <bottom style="medium">
          <color indexed="64"/>
        </bottom>
      </border>
      <protection hidden="1"/>
    </dxf>
  </rfmt>
  <rcc rId="14295" sId="47" odxf="1" s="1" dxf="1">
    <nc r="J3" t="inlineStr">
      <is>
        <t>ЦЕНТР-ТИМ</t>
      </is>
    </nc>
    <odxf>
      <font>
        <b val="0"/>
        <i val="0"/>
        <strike val="0"/>
        <condense val="0"/>
        <extend val="0"/>
        <outline val="0"/>
        <shadow val="0"/>
        <u val="none"/>
        <vertAlign val="baseline"/>
        <sz val="11"/>
        <color theme="1"/>
        <name val="Calibri"/>
        <scheme val="minor"/>
      </font>
    </odxf>
    <ndxf>
      <font>
        <b/>
        <u/>
        <sz val="8"/>
        <color theme="0"/>
        <name val="Calibri"/>
        <scheme val="none"/>
      </font>
      <fill>
        <patternFill patternType="solid">
          <bgColor theme="1"/>
        </patternFill>
      </fill>
      <alignment horizontal="center" vertical="center" readingOrder="0"/>
      <border outline="0">
        <bottom style="medium">
          <color indexed="64"/>
        </bottom>
      </border>
      <protection hidden="1"/>
    </ndxf>
  </rcc>
  <rfmt sheetId="47" sqref="F2:F6" start="0" length="0">
    <dxf>
      <border>
        <left/>
      </border>
    </dxf>
  </rfmt>
  <rcv guid="{FBB3E572-A647-4B8C-96C7-F43FE4F7CAA8}" action="delete"/>
  <rdn rId="0" localSheetId="1" customView="1" name="Z_FBB3E572_A647_4B8C_96C7_F43FE4F7CAA8_.wvu.PrintArea" hidden="1" oldHidden="1">
    <formula>'ЦЕНТР-ТИМ'!$A$1:$Q$208</formula>
    <oldFormula>'ЦЕНТР-ТИМ'!$A$1:$Q$208</oldFormula>
  </rdn>
  <rdn rId="0" localSheetId="47" customView="1" name="Z_FBB3E572_A647_4B8C_96C7_F43FE4F7CAA8_.wvu.Cols" hidden="1" oldHidden="1">
    <formula>DoorHan!$G:$J</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2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2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22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22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23.xml><?xml version="1.0" encoding="utf-8"?>
<revisions xmlns="http://schemas.openxmlformats.org/spreadsheetml/2006/main" xmlns:r="http://schemas.openxmlformats.org/officeDocument/2006/relationships">
  <rcc rId="14424" sId="47">
    <nc r="E21" t="inlineStr">
      <is>
        <t>Действует с 17.06.2019 г</t>
      </is>
    </nc>
  </rcc>
  <rfmt sheetId="47" sqref="A21:E21">
    <dxf>
      <fill>
        <patternFill patternType="solid">
          <bgColor theme="0" tint="-0.249977111117893"/>
        </patternFill>
      </fill>
    </dxf>
  </rfmt>
  <rfmt sheetId="47" sqref="A3:E3">
    <dxf>
      <fill>
        <patternFill patternType="solid">
          <bgColor theme="0" tint="-0.249977111117893"/>
        </patternFill>
      </fill>
    </dxf>
  </rfmt>
  <rfmt sheetId="47" sqref="A5:A20">
    <dxf>
      <alignment vertical="center" readingOrder="0"/>
    </dxf>
  </rfmt>
  <rfmt sheetId="47" sqref="B5:B20">
    <dxf>
      <alignment vertical="center" readingOrder="0"/>
    </dxf>
  </rfmt>
  <rfmt sheetId="47" sqref="E4" start="0" length="0">
    <dxf>
      <border>
        <left style="medium">
          <color indexed="64"/>
        </left>
        <right style="medium">
          <color indexed="64"/>
        </right>
        <top style="medium">
          <color indexed="64"/>
        </top>
        <bottom style="medium">
          <color indexed="64"/>
        </bottom>
      </border>
    </dxf>
  </rfmt>
  <rfmt sheetId="47" sqref="A5:A20" start="0" length="2147483647">
    <dxf>
      <font>
        <b/>
      </font>
    </dxf>
  </rfmt>
  <rfmt sheetId="47" sqref="A4:E4" start="0" length="2147483647">
    <dxf>
      <font>
        <b val="0"/>
      </font>
    </dxf>
  </rfmt>
  <rcc rId="14425" sId="47">
    <nc r="A1" t="inlineStr">
      <is>
        <t xml:space="preserve">DoorHan </t>
      </is>
    </nc>
  </rcc>
  <rfmt sheetId="47" sqref="A1" start="0" length="2147483647">
    <dxf>
      <font>
        <sz val="28"/>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47" customView="1" name="Z_FBB3E572_A647_4B8C_96C7_F43FE4F7CAA8_.wvu.Cols" hidden="1" oldHidden="1">
    <formula>DoorHan!$G:$J</formula>
    <oldFormula>DoorHan!$G:$J</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231.xml><?xml version="1.0" encoding="utf-8"?>
<revisions xmlns="http://schemas.openxmlformats.org/spreadsheetml/2006/main" xmlns:r="http://schemas.openxmlformats.org/officeDocument/2006/relationships">
  <rfmt sheetId="47" sqref="E5" start="0" length="0">
    <dxf>
      <border>
        <left style="medium">
          <color indexed="64"/>
        </left>
        <right style="medium">
          <color indexed="64"/>
        </right>
        <top style="medium">
          <color indexed="64"/>
        </top>
        <bottom style="medium">
          <color indexed="64"/>
        </bottom>
      </border>
    </dxf>
  </rfmt>
  <rfmt sheetId="47" sqref="A5" start="0" length="0">
    <dxf>
      <border>
        <left style="medium">
          <color indexed="64"/>
        </left>
        <right style="medium">
          <color indexed="64"/>
        </right>
        <top style="medium">
          <color indexed="64"/>
        </top>
        <bottom style="medium">
          <color indexed="64"/>
        </bottom>
      </border>
    </dxf>
  </rfmt>
  <rfmt sheetId="47" sqref="A3" start="0" length="0">
    <dxf>
      <border>
        <left style="medium">
          <color indexed="64"/>
        </left>
      </border>
    </dxf>
  </rfmt>
  <rfmt sheetId="47" sqref="A3:E3" start="0" length="0">
    <dxf>
      <border>
        <top style="medium">
          <color indexed="64"/>
        </top>
      </border>
    </dxf>
  </rfmt>
  <rfmt sheetId="47" sqref="E3" start="0" length="0">
    <dxf>
      <border>
        <right style="medium">
          <color indexed="64"/>
        </right>
      </border>
    </dxf>
  </rfmt>
  <rfmt sheetId="47" sqref="A3:E3">
    <dxf>
      <fill>
        <patternFill patternType="solid">
          <bgColor rgb="FF00B0F0"/>
        </patternFill>
      </fill>
    </dxf>
  </rfmt>
  <rrc rId="14338" sId="47" ref="A1:XFD1" action="deleteRow">
    <undo index="0" exp="area" ref3D="1" dr="$G$1:$J$1048576" dn="Z_FBB3E572_A647_4B8C_96C7_F43FE4F7CAA8_.wvu.Cols" sId="47"/>
    <rfmt sheetId="47" xfDxf="1" sqref="A1:XFD1" start="0" length="0"/>
  </rrc>
  <rfmt sheetId="47" sqref="A1:E1">
    <dxf>
      <alignment wrapText="1" readingOrder="0"/>
    </dxf>
  </rfmt>
  <rfmt sheetId="47" sqref="E5" start="0" length="0">
    <dxf>
      <border>
        <left style="thin">
          <color indexed="64"/>
        </left>
        <right style="thin">
          <color indexed="64"/>
        </right>
        <top style="thin">
          <color indexed="64"/>
        </top>
        <bottom style="thin">
          <color indexed="64"/>
        </bottom>
      </border>
    </dxf>
  </rfmt>
  <rfmt sheetId="47" sqref="E5">
    <dxf>
      <border>
        <left style="thin">
          <color indexed="64"/>
        </left>
        <right style="thin">
          <color indexed="64"/>
        </right>
        <top style="thin">
          <color indexed="64"/>
        </top>
        <bottom style="thin">
          <color indexed="64"/>
        </bottom>
        <vertical style="thin">
          <color indexed="64"/>
        </vertical>
        <horizontal style="thin">
          <color indexed="64"/>
        </horizontal>
      </border>
    </dxf>
  </rfmt>
  <rcv guid="{FBB3E572-A647-4B8C-96C7-F43FE4F7CAA8}" action="delete"/>
  <rdn rId="0" localSheetId="1" customView="1" name="Z_FBB3E572_A647_4B8C_96C7_F43FE4F7CAA8_.wvu.PrintArea" hidden="1" oldHidden="1">
    <formula>'ЦЕНТР-ТИМ'!$A$1:$Q$208</formula>
    <oldFormula>'ЦЕНТР-ТИМ'!$A$1:$Q$208</oldFormula>
  </rdn>
  <rdn rId="0" localSheetId="47" customView="1" name="Z_FBB3E572_A647_4B8C_96C7_F43FE4F7CAA8_.wvu.Cols" hidden="1" oldHidden="1">
    <formula>DoorHan!$G:$J</formula>
    <oldFormula>DoorHan!$G:$J</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3.xml><?xml version="1.0" encoding="utf-8"?>
<revisions xmlns="http://schemas.openxmlformats.org/spreadsheetml/2006/main" xmlns:r="http://schemas.openxmlformats.org/officeDocument/2006/relationships">
  <ris rId="8193" sheetId="30" name="[ПРАЙС ЦЕНТР-ТИМ 2019 обновленный.xlsx]Лист5" sheetPosition="29"/>
  <rcc rId="8194" sId="30" odxf="1" dxf="1">
    <nc r="A3" t="inlineStr">
      <is>
        <t>Наименование</t>
      </is>
    </nc>
    <odxf>
      <font>
        <b val="0"/>
        <sz val="11"/>
        <color theme="1"/>
        <name val="Calibri"/>
        <scheme val="minor"/>
      </font>
      <alignment horizontal="general" vertical="bottom" wrapText="0" readingOrder="0"/>
      <border outline="0">
        <left/>
        <right/>
        <top/>
        <bottom/>
      </border>
    </odxf>
    <ndxf>
      <font>
        <b/>
        <sz val="16"/>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8195" sId="30" odxf="1" dxf="1">
    <nc r="B3" t="inlineStr">
      <is>
        <t>Кол-во  в упаковке</t>
      </is>
    </nc>
    <odxf>
      <font>
        <b val="0"/>
        <sz val="11"/>
        <color theme="1"/>
        <name val="Calibri"/>
        <scheme val="minor"/>
      </font>
      <alignment horizontal="general" vertical="bottom" wrapText="0" readingOrder="0"/>
      <border outline="0">
        <left/>
        <right/>
        <top/>
        <bottom/>
      </border>
    </odxf>
    <ndxf>
      <font>
        <b/>
        <sz val="9"/>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30" sqref="C3" start="0" length="0">
    <dxf>
      <font>
        <b/>
        <sz val="9"/>
        <color auto="1"/>
        <name val="Arial Narrow"/>
        <scheme val="none"/>
      </font>
      <fill>
        <patternFill patternType="solid">
          <bgColor theme="0"/>
        </patternFill>
      </fill>
      <alignment horizontal="center" vertical="center" wrapText="1" readingOrder="0"/>
    </dxf>
  </rfmt>
  <rcc rId="8196" sId="30" odxf="1" dxf="1">
    <nc r="D3" t="inlineStr">
      <is>
        <t>Цена для Торгующих и Кровельных Организаций</t>
      </is>
    </nc>
    <odxf>
      <font>
        <b val="0"/>
        <sz val="11"/>
        <color theme="1"/>
        <name val="Calibri"/>
        <scheme val="minor"/>
      </font>
      <fill>
        <patternFill patternType="none">
          <bgColor indexed="65"/>
        </patternFill>
      </fill>
      <alignment horizontal="general" vertical="bottom" wrapText="0" readingOrder="0"/>
      <border outline="0">
        <lef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top style="medium">
          <color indexed="64"/>
        </top>
        <bottom style="medium">
          <color indexed="64"/>
        </bottom>
      </border>
    </ndxf>
  </rcc>
  <rcc rId="8197" sId="30"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right style="medium">
          <color indexed="64"/>
        </right>
        <top style="medium">
          <color indexed="64"/>
        </top>
        <bottom style="medium">
          <color indexed="64"/>
        </bottom>
      </border>
    </ndxf>
  </rcc>
  <rcc rId="8198" sId="30"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right/>
        <top/>
        <bottom/>
      </border>
    </odxf>
    <ndxf>
      <font>
        <b/>
        <sz val="9"/>
        <color auto="1"/>
        <name val="Arial Narrow"/>
        <scheme val="none"/>
      </font>
      <fill>
        <patternFill patternType="solid">
          <bgColor rgb="FFCCFFCC"/>
        </patternFill>
      </fill>
      <alignment horizontal="center" vertical="center" wrapText="1" readingOrder="0"/>
      <border outline="0">
        <right style="medium">
          <color indexed="64"/>
        </right>
        <top style="medium">
          <color indexed="64"/>
        </top>
        <bottom style="medium">
          <color indexed="64"/>
        </bottom>
      </border>
    </ndxf>
  </rcc>
  <rfmt sheetId="30" sqref="G3" start="0" length="0">
    <dxf>
      <font>
        <sz val="9"/>
        <color theme="1"/>
        <name val="Arial Narrow"/>
        <scheme val="none"/>
      </font>
      <fill>
        <patternFill patternType="solid">
          <bgColor theme="0"/>
        </patternFill>
      </fill>
      <alignment horizontal="center" vertical="center" readingOrder="0"/>
    </dxf>
  </rfmt>
  <rfmt sheetId="30" sqref="A4" start="0" length="0">
    <dxf>
      <font>
        <sz val="11"/>
        <color auto="1"/>
        <name val="Arial Narrow"/>
        <scheme val="none"/>
      </font>
      <alignment vertical="center" readingOrder="0"/>
    </dxf>
  </rfmt>
  <rfmt sheetId="30" sqref="B4" start="0" length="0">
    <dxf>
      <font>
        <sz val="11"/>
        <color auto="1"/>
        <name val="Arial Narrow"/>
        <scheme val="none"/>
      </font>
      <alignment vertical="center" readingOrder="0"/>
    </dxf>
  </rfmt>
  <rfmt sheetId="30" sqref="C4" start="0" length="0">
    <dxf>
      <font>
        <sz val="11"/>
        <color auto="1"/>
        <name val="Arial Narrow"/>
        <scheme val="none"/>
      </font>
      <numFmt numFmtId="2" formatCode="0.00"/>
      <fill>
        <patternFill patternType="solid">
          <bgColor theme="0"/>
        </patternFill>
      </fill>
      <alignment horizontal="center" vertical="center" readingOrder="0"/>
    </dxf>
  </rfmt>
  <rfmt sheetId="30" sqref="D4" start="0" length="0">
    <dxf>
      <font>
        <sz val="11"/>
        <color auto="1"/>
        <name val="Arial Narrow"/>
        <scheme val="none"/>
      </font>
      <numFmt numFmtId="168" formatCode="#,##0.00&quot;р.&quot;"/>
      <fill>
        <patternFill patternType="solid">
          <bgColor theme="0"/>
        </patternFill>
      </fill>
      <alignment vertical="center" readingOrder="0"/>
    </dxf>
  </rfmt>
  <rfmt sheetId="30" sqref="E4" start="0" length="0">
    <dxf>
      <font>
        <sz val="11"/>
        <color auto="1"/>
        <name val="Arial Narrow"/>
        <scheme val="none"/>
      </font>
      <numFmt numFmtId="168" formatCode="#,##0.00&quot;р.&quot;"/>
      <fill>
        <patternFill patternType="solid">
          <bgColor theme="0"/>
        </patternFill>
      </fill>
      <alignment vertical="center" readingOrder="0"/>
    </dxf>
  </rfmt>
  <rfmt sheetId="30" sqref="F4" start="0" length="0">
    <dxf>
      <font>
        <sz val="11"/>
        <color auto="1"/>
        <name val="Arial Narrow"/>
        <scheme val="none"/>
      </font>
      <numFmt numFmtId="168" formatCode="#,##0.00&quot;р.&quot;"/>
      <fill>
        <patternFill patternType="solid">
          <bgColor theme="0"/>
        </patternFill>
      </fill>
      <alignment vertical="center" readingOrder="0"/>
    </dxf>
  </rfmt>
  <rfmt sheetId="30" sqref="G4" start="0" length="0">
    <dxf>
      <font>
        <sz val="11"/>
        <color theme="1"/>
        <name val="Arial Narrow"/>
        <scheme val="none"/>
      </font>
      <fill>
        <patternFill patternType="solid">
          <bgColor theme="0"/>
        </patternFill>
      </fill>
      <alignment vertical="center" readingOrder="0"/>
    </dxf>
  </rfmt>
  <rcc rId="8199" sId="30" odxf="1" dxf="1">
    <nc r="A5" t="inlineStr">
      <is>
        <t>Водосточная система Döcke PREMIUM(бывший Standart)</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200" sId="30"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30" sqref="C5" start="0" length="0">
    <dxf>
      <font>
        <b/>
        <sz val="11"/>
        <color auto="1"/>
        <name val="Arial Narrow"/>
        <scheme val="none"/>
      </font>
      <numFmt numFmtId="2" formatCode="0.00"/>
      <fill>
        <patternFill patternType="solid">
          <bgColor theme="0"/>
        </patternFill>
      </fill>
      <alignment horizontal="center" vertical="center" readingOrder="0"/>
    </dxf>
  </rfmt>
  <rfmt sheetId="30"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30" sqref="E5" start="0" length="0">
    <dxf>
      <fill>
        <patternFill patternType="solid">
          <bgColor rgb="FFFFFF00"/>
        </patternFill>
      </fill>
      <alignment vertical="center" wrapText="1" readingOrder="0"/>
      <border outline="0">
        <top style="thin">
          <color indexed="64"/>
        </top>
        <bottom style="double">
          <color indexed="64"/>
        </bottom>
      </border>
    </dxf>
  </rfmt>
  <rfmt sheetId="30"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30" sqref="G5" start="0" length="0">
    <dxf>
      <font>
        <b/>
        <sz val="11"/>
        <color theme="1"/>
        <name val="Arial Narrow"/>
        <scheme val="none"/>
      </font>
      <fill>
        <patternFill patternType="solid">
          <bgColor theme="0"/>
        </patternFill>
      </fill>
      <alignment vertical="center" readingOrder="0"/>
    </dxf>
  </rfmt>
  <rcc rId="8201" sId="30" odxf="1" dxf="1">
    <nc r="A6" t="inlineStr">
      <is>
        <t>Желоб водосточный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02" sId="30" odxf="1" dxf="1">
    <nc r="B6">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6" start="0" length="0">
    <dxf>
      <font>
        <sz val="11"/>
        <color auto="1"/>
        <name val="Arial Narrow"/>
        <scheme val="none"/>
      </font>
      <numFmt numFmtId="2" formatCode="0.00"/>
      <fill>
        <patternFill patternType="solid">
          <bgColor theme="0"/>
        </patternFill>
      </fill>
      <alignment horizontal="center" vertical="center" readingOrder="0"/>
    </dxf>
  </rfmt>
  <rcc rId="8203" sId="30" odxf="1" dxf="1" numFmtId="4">
    <nc r="D6">
      <v>314.51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04" sId="30" odxf="1" dxf="1" numFmtId="4">
    <nc r="E6">
      <v>404.37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05" sId="30" odxf="1" dxf="1" numFmtId="4">
    <nc r="F6">
      <v>449.3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6" start="0" length="0">
    <dxf>
      <font>
        <sz val="11"/>
        <color rgb="FF0000FF"/>
        <name val="Arial Narrow"/>
        <scheme val="none"/>
      </font>
      <fill>
        <patternFill patternType="solid">
          <bgColor theme="0"/>
        </patternFill>
      </fill>
      <alignment vertical="center" readingOrder="0"/>
    </dxf>
  </rfmt>
  <rcc rId="8206" sId="30" odxf="1" dxf="1">
    <nc r="A7" t="inlineStr">
      <is>
        <t>Желоб водосточный 3000 мм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07" sId="30" odxf="1" dxf="1">
    <nc r="B7">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7" start="0" length="0">
    <dxf>
      <font>
        <sz val="11"/>
        <color auto="1"/>
        <name val="Arial Narrow"/>
        <scheme val="none"/>
      </font>
      <numFmt numFmtId="2" formatCode="0.00"/>
      <fill>
        <patternFill patternType="solid">
          <bgColor theme="0"/>
        </patternFill>
      </fill>
      <alignment horizontal="center" vertical="center" readingOrder="0"/>
    </dxf>
  </rfmt>
  <rcc rId="8208" sId="30" odxf="1" dxf="1" numFmtId="4">
    <nc r="D7">
      <v>346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09" sId="30" odxf="1" dxf="1" numFmtId="4">
    <nc r="E7">
      <v>444.85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0" sId="30" odxf="1" dxf="1" numFmtId="4">
    <nc r="F7">
      <v>494.28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7" start="0" length="0">
    <dxf>
      <font>
        <sz val="11"/>
        <color rgb="FF0000FF"/>
        <name val="Arial Narrow"/>
        <scheme val="none"/>
      </font>
      <fill>
        <patternFill patternType="solid">
          <bgColor theme="0"/>
        </patternFill>
      </fill>
      <alignment vertical="center" readingOrder="0"/>
    </dxf>
  </rfmt>
  <rcc rId="8211" sId="30" odxf="1" dxf="1">
    <nc r="A8" t="inlineStr">
      <is>
        <t>Труба водосточная 3000 мм Пломбир / 1000мм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12" sId="30" odxf="1" dxf="1">
    <nc r="B8">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8" start="0" length="0">
    <dxf>
      <font>
        <sz val="11"/>
        <color auto="1"/>
        <name val="Arial Narrow"/>
        <scheme val="none"/>
      </font>
      <numFmt numFmtId="2" formatCode="0.00"/>
      <fill>
        <patternFill patternType="solid">
          <bgColor theme="0"/>
        </patternFill>
      </fill>
      <alignment horizontal="center" vertical="center" readingOrder="0"/>
    </dxf>
  </rfmt>
  <rcc rId="8213" sId="30" odxf="1" dxf="1">
    <nc r="D8" t="inlineStr">
      <is>
        <t>380,87/146,00</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4" sId="30" odxf="1" dxf="1">
    <nc r="E8" t="inlineStr">
      <is>
        <t>489,68/187,71</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5" sId="30" odxf="1" dxf="1">
    <nc r="F8" t="inlineStr">
      <is>
        <t>544,09/208,57</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8" start="0" length="0">
    <dxf>
      <font>
        <sz val="11"/>
        <color rgb="FF0000FF"/>
        <name val="Arial Narrow"/>
        <scheme val="none"/>
      </font>
      <fill>
        <patternFill patternType="solid">
          <bgColor theme="0"/>
        </patternFill>
      </fill>
      <alignment vertical="center" readingOrder="0"/>
    </dxf>
  </rfmt>
  <rcc rId="8216" sId="30" odxf="1" dxf="1">
    <nc r="A9" t="inlineStr">
      <is>
        <t>Труба водосточная 3000 мм Шоколад, Гранат, Каштан / 1000м Шоколад</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17" sId="30" odxf="1" dxf="1">
    <nc r="B9">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9" start="0" length="0">
    <dxf>
      <font>
        <sz val="11"/>
        <color auto="1"/>
        <name val="Arial Narrow"/>
        <scheme val="none"/>
      </font>
      <numFmt numFmtId="2" formatCode="0.00"/>
      <fill>
        <patternFill patternType="solid">
          <bgColor theme="0"/>
        </patternFill>
      </fill>
      <alignment horizontal="center" vertical="center" readingOrder="0"/>
    </dxf>
  </rfmt>
  <rcc rId="8218" sId="30" odxf="1" dxf="1">
    <nc r="D9" t="inlineStr">
      <is>
        <t>418,96/160,60</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9" sId="30" odxf="1" dxf="1">
    <nc r="E9" t="inlineStr">
      <is>
        <t>538,66/206,49</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0" sId="30" odxf="1" dxf="1">
    <nc r="F9" t="inlineStr">
      <is>
        <t>598,51/229,43</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9" start="0" length="0">
    <dxf>
      <font>
        <sz val="11"/>
        <color rgb="FF0000FF"/>
        <name val="Arial Narrow"/>
        <scheme val="none"/>
      </font>
      <fill>
        <patternFill patternType="solid">
          <bgColor theme="0"/>
        </patternFill>
      </fill>
      <alignment vertical="center" readingOrder="0"/>
    </dxf>
  </rfmt>
  <rcc rId="8221" sId="30" odxf="1" dxf="1">
    <nc r="A10" t="inlineStr">
      <is>
        <t>Соединитель желобов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22" sId="30" odxf="1" dxf="1">
    <nc r="B10">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0" start="0" length="0">
    <dxf>
      <font>
        <sz val="11"/>
        <color auto="1"/>
        <name val="Arial Narrow"/>
        <scheme val="none"/>
      </font>
      <numFmt numFmtId="2" formatCode="0.00"/>
      <fill>
        <patternFill patternType="solid">
          <bgColor theme="0"/>
        </patternFill>
      </fill>
      <alignment horizontal="center" vertical="center" readingOrder="0"/>
    </dxf>
  </rfmt>
  <rcc rId="8223" sId="30" odxf="1" dxf="1" numFmtId="4">
    <nc r="D10">
      <v>109.61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4" sId="30" odxf="1" dxf="1" numFmtId="4">
    <nc r="E10">
      <v>140.93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5" sId="30" odxf="1" dxf="1" numFmtId="4">
    <nc r="F10">
      <v>156.58000000000001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0" start="0" length="0">
    <dxf>
      <font>
        <sz val="11"/>
        <color rgb="FF0000FF"/>
        <name val="Arial Narrow"/>
        <scheme val="none"/>
      </font>
      <fill>
        <patternFill patternType="solid">
          <bgColor theme="0"/>
        </patternFill>
      </fill>
      <alignment vertical="center" readingOrder="0"/>
    </dxf>
  </rfmt>
  <rcc rId="8226" sId="30" odxf="1" dxf="1">
    <nc r="A11" t="inlineStr">
      <is>
        <t>Соединитель желобов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27" sId="30" odxf="1" dxf="1">
    <nc r="B11">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1" start="0" length="0">
    <dxf>
      <font>
        <sz val="11"/>
        <color auto="1"/>
        <name val="Arial Narrow"/>
        <scheme val="none"/>
      </font>
      <numFmt numFmtId="2" formatCode="0.00"/>
      <fill>
        <patternFill patternType="solid">
          <bgColor theme="0"/>
        </patternFill>
      </fill>
      <alignment horizontal="center" vertical="center" readingOrder="0"/>
    </dxf>
  </rfmt>
  <rcc rId="8228" sId="30" odxf="1" dxf="1" numFmtId="4">
    <nc r="D11">
      <v>115.05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9" sId="30" odxf="1" dxf="1" numFmtId="4">
    <nc r="E11">
      <v>147.91999999999999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0" sId="30" odxf="1" dxf="1" numFmtId="4">
    <nc r="F11">
      <v>164.36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1" start="0" length="0">
    <dxf>
      <font>
        <sz val="11"/>
        <color rgb="FF0000FF"/>
        <name val="Arial Narrow"/>
        <scheme val="none"/>
      </font>
      <fill>
        <patternFill patternType="solid">
          <bgColor theme="0"/>
        </patternFill>
      </fill>
      <alignment vertical="center" readingOrder="0"/>
    </dxf>
  </rfmt>
  <rcc rId="8231" sId="30" odxf="1" dxf="1">
    <nc r="A12" t="inlineStr">
      <is>
        <t>Муфта соединительная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32" sId="30" odxf="1" dxf="1">
    <nc r="B12">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2" start="0" length="0">
    <dxf>
      <font>
        <sz val="11"/>
        <color auto="1"/>
        <name val="Arial Narrow"/>
        <scheme val="none"/>
      </font>
      <numFmt numFmtId="2" formatCode="0.00"/>
      <fill>
        <patternFill patternType="solid">
          <bgColor theme="0"/>
        </patternFill>
      </fill>
      <alignment horizontal="center" vertical="center" readingOrder="0"/>
    </dxf>
  </rfmt>
  <rcc rId="8233" sId="30" odxf="1" dxf="1" numFmtId="4">
    <nc r="D12">
      <v>65.81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4" sId="30" odxf="1" dxf="1" numFmtId="4">
    <nc r="E12">
      <v>84.62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5" sId="30" odxf="1" dxf="1" numFmtId="4">
    <nc r="F12">
      <v>94.02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2" start="0" length="0">
    <dxf>
      <font>
        <sz val="11"/>
        <color rgb="FF0000FF"/>
        <name val="Arial Narrow"/>
        <scheme val="none"/>
      </font>
      <fill>
        <patternFill patternType="solid">
          <bgColor theme="0"/>
        </patternFill>
      </fill>
      <alignment vertical="center" readingOrder="0"/>
    </dxf>
  </rfmt>
  <rcc rId="8236" sId="30" odxf="1" dxf="1">
    <nc r="A13" t="inlineStr">
      <is>
        <t>Муфта соединительная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37" sId="30" odxf="1" dxf="1">
    <nc r="B13">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3" start="0" length="0">
    <dxf>
      <font>
        <sz val="11"/>
        <color auto="1"/>
        <name val="Arial Narrow"/>
        <scheme val="none"/>
      </font>
      <numFmt numFmtId="2" formatCode="0.00"/>
      <fill>
        <patternFill patternType="solid">
          <bgColor theme="0"/>
        </patternFill>
      </fill>
      <alignment horizontal="center" vertical="center" readingOrder="0"/>
    </dxf>
  </rfmt>
  <rcc rId="8238" sId="30" odxf="1" dxf="1" numFmtId="4">
    <nc r="D13">
      <v>69.19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9" sId="30" odxf="1" dxf="1" numFmtId="4">
    <nc r="E13">
      <v>88.96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0" sId="30" odxf="1" dxf="1" numFmtId="4">
    <nc r="F13">
      <v>98.85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3" start="0" length="0">
    <dxf>
      <font>
        <sz val="11"/>
        <color rgb="FF0000FF"/>
        <name val="Arial Narrow"/>
        <scheme val="none"/>
      </font>
      <fill>
        <patternFill patternType="solid">
          <bgColor theme="0"/>
        </patternFill>
      </fill>
      <alignment vertical="center" readingOrder="0"/>
    </dxf>
  </rfmt>
  <rcc rId="8241" sId="30" odxf="1" dxf="1">
    <nc r="A14" t="inlineStr">
      <is>
        <t>Угловой элемент желоба 90°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42" sId="30" odxf="1" dxf="1">
    <nc r="B14">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4" start="0" length="0">
    <dxf>
      <font>
        <sz val="11"/>
        <color auto="1"/>
        <name val="Arial Narrow"/>
        <scheme val="none"/>
      </font>
      <numFmt numFmtId="2" formatCode="0.00"/>
      <fill>
        <patternFill patternType="solid">
          <bgColor theme="0"/>
        </patternFill>
      </fill>
      <alignment horizontal="center" vertical="center" readingOrder="0"/>
    </dxf>
  </rfmt>
  <rcc rId="8243" sId="30" odxf="1" dxf="1" numFmtId="4">
    <nc r="D14">
      <v>170.89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4" sId="30" odxf="1" dxf="1" numFmtId="4">
    <nc r="E14">
      <v>219.72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5" sId="30" odxf="1" dxf="1" numFmtId="4">
    <nc r="F14">
      <v>244.13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4" start="0" length="0">
    <dxf>
      <font>
        <sz val="11"/>
        <color rgb="FF0000FF"/>
        <name val="Arial Narrow"/>
        <scheme val="none"/>
      </font>
      <fill>
        <patternFill patternType="solid">
          <bgColor theme="0"/>
        </patternFill>
      </fill>
      <alignment vertical="center" readingOrder="0"/>
    </dxf>
  </rfmt>
  <rcc rId="8246" sId="30" odxf="1" dxf="1">
    <nc r="A15" t="inlineStr">
      <is>
        <t>Угловой элемент желоба 90° универсальный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47" sId="30" odxf="1" dxf="1">
    <nc r="B15">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5" start="0" length="0">
    <dxf>
      <font>
        <sz val="11"/>
        <color auto="1"/>
        <name val="Arial Narrow"/>
        <scheme val="none"/>
      </font>
      <numFmt numFmtId="2" formatCode="0.00"/>
      <fill>
        <patternFill patternType="solid">
          <bgColor theme="0"/>
        </patternFill>
      </fill>
      <alignment horizontal="center" vertical="center" readingOrder="0"/>
    </dxf>
  </rfmt>
  <rcc rId="8248" sId="30" odxf="1" dxf="1" numFmtId="4">
    <nc r="D15">
      <v>179.49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9" sId="30" odxf="1" dxf="1" numFmtId="4">
    <nc r="E15">
      <v>230.77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0" sId="30" odxf="1" dxf="1" numFmtId="4">
    <nc r="F15">
      <v>256.42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5" start="0" length="0">
    <dxf>
      <font>
        <sz val="11"/>
        <color rgb="FF0000FF"/>
        <name val="Arial Narrow"/>
        <scheme val="none"/>
      </font>
      <fill>
        <patternFill patternType="solid">
          <bgColor theme="0"/>
        </patternFill>
      </fill>
      <alignment vertical="center" readingOrder="0"/>
    </dxf>
  </rfmt>
  <rcc rId="8251" sId="30" odxf="1" dxf="1">
    <nc r="A16" t="inlineStr">
      <is>
        <t>Угловой элемент желоба 135°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52" sId="30" odxf="1" dxf="1">
    <nc r="B16">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6" start="0" length="0">
    <dxf>
      <font>
        <sz val="11"/>
        <color auto="1"/>
        <name val="Arial Narrow"/>
        <scheme val="none"/>
      </font>
      <numFmt numFmtId="2" formatCode="0.00"/>
      <fill>
        <patternFill patternType="solid">
          <bgColor theme="0"/>
        </patternFill>
      </fill>
      <alignment horizontal="center" vertical="center" readingOrder="0"/>
    </dxf>
  </rfmt>
  <rcc rId="8253" sId="30" odxf="1" dxf="1" numFmtId="4">
    <nc r="D16">
      <v>585.92999999999995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4" sId="30" odxf="1" dxf="1" numFmtId="4">
    <nc r="E16">
      <v>753.33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5" sId="30" odxf="1" dxf="1" numFmtId="4">
    <nc r="F16">
      <v>837.04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6" start="0" length="0">
    <dxf>
      <font>
        <sz val="11"/>
        <color rgb="FF0000FF"/>
        <name val="Arial Narrow"/>
        <scheme val="none"/>
      </font>
      <fill>
        <patternFill patternType="solid">
          <bgColor theme="0"/>
        </patternFill>
      </fill>
      <alignment vertical="center" readingOrder="0"/>
    </dxf>
  </rfmt>
  <rcc rId="8256" sId="30" odxf="1" dxf="1">
    <nc r="A17" t="inlineStr">
      <is>
        <t>Угловой элемент желоба 135°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57" sId="30" odxf="1" dxf="1">
    <nc r="B17">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7" start="0" length="0">
    <dxf>
      <font>
        <sz val="11"/>
        <color auto="1"/>
        <name val="Arial Narrow"/>
        <scheme val="none"/>
      </font>
      <numFmt numFmtId="2" formatCode="0.00"/>
      <fill>
        <patternFill patternType="solid">
          <bgColor theme="0"/>
        </patternFill>
      </fill>
      <alignment horizontal="center" vertical="center" readingOrder="0"/>
    </dxf>
  </rfmt>
  <rcc rId="8258" sId="30" odxf="1" dxf="1" numFmtId="4">
    <nc r="D17">
      <v>615.19000000000005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9" sId="30" odxf="1" dxf="1" numFmtId="4">
    <nc r="E17">
      <v>790.96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0" sId="30" odxf="1" dxf="1" numFmtId="4">
    <nc r="F17">
      <v>878.85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7" start="0" length="0">
    <dxf>
      <font>
        <sz val="11"/>
        <color rgb="FF0000FF"/>
        <name val="Arial Narrow"/>
        <scheme val="none"/>
      </font>
      <fill>
        <patternFill patternType="solid">
          <bgColor theme="0"/>
        </patternFill>
      </fill>
      <alignment vertical="center" readingOrder="0"/>
    </dxf>
  </rfmt>
  <rcc rId="8261" sId="30" odxf="1" dxf="1">
    <nc r="A18" t="inlineStr">
      <is>
        <t>Заглушка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62" sId="30" odxf="1" dxf="1">
    <nc r="B18">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8" start="0" length="0">
    <dxf>
      <font>
        <sz val="11"/>
        <color auto="1"/>
        <name val="Arial Narrow"/>
        <scheme val="none"/>
      </font>
      <numFmt numFmtId="2" formatCode="0.00"/>
      <fill>
        <patternFill patternType="solid">
          <bgColor theme="0"/>
        </patternFill>
      </fill>
      <alignment horizontal="center" vertical="center" readingOrder="0"/>
    </dxf>
  </rfmt>
  <rcc rId="8263" sId="30" odxf="1" dxf="1" numFmtId="4">
    <nc r="D18">
      <v>52.63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4" sId="30" odxf="1" dxf="1" numFmtId="4">
    <nc r="E18">
      <v>67.67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5" sId="30" odxf="1" dxf="1" numFmtId="4">
    <nc r="F18">
      <v>75.19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8" start="0" length="0">
    <dxf>
      <font>
        <sz val="11"/>
        <color rgb="FF0000FF"/>
        <name val="Arial Narrow"/>
        <scheme val="none"/>
      </font>
      <fill>
        <patternFill patternType="solid">
          <bgColor theme="0"/>
        </patternFill>
      </fill>
      <alignment vertical="center" readingOrder="0"/>
    </dxf>
  </rfmt>
  <rcc rId="8266" sId="30" odxf="1" dxf="1">
    <nc r="A19" t="inlineStr">
      <is>
        <t>Заглушка желоба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67" sId="30" odxf="1" dxf="1">
    <nc r="B19">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9" start="0" length="0">
    <dxf>
      <font>
        <sz val="11"/>
        <color auto="1"/>
        <name val="Arial Narrow"/>
        <scheme val="none"/>
      </font>
      <numFmt numFmtId="2" formatCode="0.00"/>
      <fill>
        <patternFill patternType="solid">
          <bgColor theme="0"/>
        </patternFill>
      </fill>
      <alignment horizontal="center" vertical="center" readingOrder="0"/>
    </dxf>
  </rfmt>
  <rcc rId="8268" sId="30" odxf="1" dxf="1" numFmtId="4">
    <nc r="D19">
      <v>55.26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9" sId="30" odxf="1" dxf="1" numFmtId="4">
    <nc r="E19">
      <v>71.05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0" sId="30" odxf="1" dxf="1" numFmtId="4">
    <nc r="F19">
      <v>78.94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9" start="0" length="0">
    <dxf>
      <font>
        <sz val="11"/>
        <color rgb="FF0000FF"/>
        <name val="Arial Narrow"/>
        <scheme val="none"/>
      </font>
      <fill>
        <patternFill patternType="solid">
          <bgColor theme="0"/>
        </patternFill>
      </fill>
      <alignment vertical="center" readingOrder="0"/>
    </dxf>
  </rfmt>
  <rcc rId="8271" sId="30" odxf="1" dxf="1">
    <nc r="A20" t="inlineStr">
      <is>
        <t>Заглушка воронки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72" sId="30" odxf="1" dxf="1">
    <nc r="B20">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0" start="0" length="0">
    <dxf>
      <font>
        <sz val="11"/>
        <color auto="1"/>
        <name val="Arial Narrow"/>
        <scheme val="none"/>
      </font>
      <numFmt numFmtId="2" formatCode="0.00"/>
      <fill>
        <patternFill patternType="solid">
          <bgColor theme="0"/>
        </patternFill>
      </fill>
      <alignment horizontal="center" vertical="center" readingOrder="0"/>
    </dxf>
  </rfmt>
  <rcc rId="8273" sId="30" odxf="1" dxf="1" numFmtId="4">
    <nc r="D20">
      <v>52.63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4" sId="30" odxf="1" dxf="1" numFmtId="4">
    <nc r="E20">
      <v>67.599999999999994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5" sId="30" odxf="1" dxf="1" numFmtId="4">
    <nc r="F20">
      <v>75.19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0" start="0" length="0">
    <dxf>
      <font>
        <sz val="11"/>
        <color rgb="FF0000FF"/>
        <name val="Arial Narrow"/>
        <scheme val="none"/>
      </font>
      <fill>
        <patternFill patternType="solid">
          <bgColor theme="0"/>
        </patternFill>
      </fill>
      <alignment vertical="center" readingOrder="0"/>
    </dxf>
  </rfmt>
  <rcc rId="8276" sId="30" odxf="1" dxf="1">
    <nc r="A21" t="inlineStr">
      <is>
        <t>Заглушка воронки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77" sId="30" odxf="1" dxf="1">
    <nc r="B21">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1" start="0" length="0">
    <dxf>
      <font>
        <sz val="11"/>
        <color auto="1"/>
        <name val="Arial Narrow"/>
        <scheme val="none"/>
      </font>
      <numFmt numFmtId="2" formatCode="0.00"/>
      <fill>
        <patternFill patternType="solid">
          <bgColor theme="0"/>
        </patternFill>
      </fill>
      <alignment horizontal="center" vertical="center" readingOrder="0"/>
    </dxf>
  </rfmt>
  <rcc rId="8278" sId="30" odxf="1" dxf="1" numFmtId="4">
    <nc r="D21">
      <v>55.26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9" sId="30" odxf="1" dxf="1" numFmtId="4">
    <nc r="E21">
      <v>71.05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0" sId="30" odxf="1" dxf="1" numFmtId="4">
    <nc r="F21">
      <v>78.94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1" start="0" length="0">
    <dxf>
      <font>
        <sz val="11"/>
        <color rgb="FF0000FF"/>
        <name val="Arial Narrow"/>
        <scheme val="none"/>
      </font>
      <fill>
        <patternFill patternType="solid">
          <bgColor theme="0"/>
        </patternFill>
      </fill>
      <alignment vertical="center" readingOrder="0"/>
    </dxf>
  </rfmt>
  <rcc rId="8281" sId="30" odxf="1" dxf="1">
    <nc r="A22" t="inlineStr">
      <is>
        <t>Крепление регулируемое для кронштейна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82" sId="30" odxf="1" dxf="1">
    <nc r="B22">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2" start="0" length="0">
    <dxf>
      <font>
        <sz val="11"/>
        <color auto="1"/>
        <name val="Arial Narrow"/>
        <scheme val="none"/>
      </font>
      <numFmt numFmtId="2" formatCode="0.00"/>
      <fill>
        <patternFill patternType="solid">
          <bgColor theme="0"/>
        </patternFill>
      </fill>
      <alignment horizontal="center" vertical="center" readingOrder="0"/>
    </dxf>
  </rfmt>
  <rcc rId="8283" sId="30" odxf="1" dxf="1" numFmtId="4">
    <nc r="D22">
      <v>127.69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4" sId="30" odxf="1" dxf="1" numFmtId="4">
    <nc r="E22">
      <v>164.17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5" sId="30" odxf="1" dxf="1" numFmtId="4">
    <nc r="F22">
      <v>182.42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2" start="0" length="0">
    <dxf>
      <font>
        <sz val="11"/>
        <color rgb="FF0000FF"/>
        <name val="Arial Narrow"/>
        <scheme val="none"/>
      </font>
      <fill>
        <patternFill patternType="solid">
          <bgColor theme="0"/>
        </patternFill>
      </fill>
      <alignment vertical="center" readingOrder="0"/>
    </dxf>
  </rfmt>
  <rcc rId="8286" sId="30" odxf="1" dxf="1">
    <nc r="A23" t="inlineStr">
      <is>
        <t>Крепление регулируемое для кронштейна желоба Шоколад,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87" sId="30" odxf="1" dxf="1">
    <nc r="B23">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3" start="0" length="0">
    <dxf>
      <font>
        <sz val="11"/>
        <color auto="1"/>
        <name val="Arial Narrow"/>
        <scheme val="none"/>
      </font>
      <numFmt numFmtId="2" formatCode="0.00"/>
      <fill>
        <patternFill patternType="solid">
          <bgColor theme="0"/>
        </patternFill>
      </fill>
      <alignment horizontal="center" vertical="center" readingOrder="0"/>
    </dxf>
  </rfmt>
  <rcc rId="8288" sId="30" odxf="1" dxf="1" numFmtId="4">
    <nc r="D23">
      <v>134.06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9" sId="30" odxf="1" dxf="1" numFmtId="4">
    <nc r="E23">
      <v>172.36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0" sId="30" odxf="1" dxf="1" numFmtId="4">
    <nc r="F23">
      <v>191.51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3" start="0" length="0">
    <dxf>
      <font>
        <sz val="11"/>
        <color rgb="FF0000FF"/>
        <name val="Arial Narrow"/>
        <scheme val="none"/>
      </font>
      <fill>
        <patternFill patternType="solid">
          <bgColor theme="0"/>
        </patternFill>
      </fill>
      <alignment vertical="center" readingOrder="0"/>
    </dxf>
  </rfmt>
  <rcc rId="8291" sId="30" odxf="1" dxf="1">
    <nc r="A24" t="inlineStr">
      <is>
        <t>Кронштейн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92" sId="30" odxf="1" dxf="1">
    <nc r="B24">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4" start="0" length="0">
    <dxf>
      <font>
        <sz val="11"/>
        <color auto="1"/>
        <name val="Arial Narrow"/>
        <scheme val="none"/>
      </font>
      <numFmt numFmtId="2" formatCode="0.00"/>
      <fill>
        <patternFill patternType="solid">
          <bgColor theme="0"/>
        </patternFill>
      </fill>
      <alignment horizontal="center" vertical="center" readingOrder="0"/>
    </dxf>
  </rfmt>
  <rcc rId="8293" sId="30" odxf="1" dxf="1" numFmtId="4">
    <nc r="D24">
      <v>35.81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4" sId="30" odxf="1" dxf="1" numFmtId="4">
    <nc r="E24">
      <v>46.04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5" sId="30" odxf="1" dxf="1" numFmtId="4">
    <nc r="F24">
      <v>51.15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4" start="0" length="0">
    <dxf>
      <font>
        <sz val="11"/>
        <color rgb="FF0000FF"/>
        <name val="Arial Narrow"/>
        <scheme val="none"/>
      </font>
      <fill>
        <patternFill patternType="solid">
          <bgColor theme="0"/>
        </patternFill>
      </fill>
      <alignment vertical="center" readingOrder="0"/>
    </dxf>
  </rfmt>
  <rcc rId="8296" sId="30" odxf="1" dxf="1">
    <nc r="A25" t="inlineStr">
      <is>
        <t>Кронштейн желоба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97" sId="30" odxf="1" dxf="1">
    <nc r="B25">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5" start="0" length="0">
    <dxf>
      <font>
        <sz val="11"/>
        <color auto="1"/>
        <name val="Arial Narrow"/>
        <scheme val="none"/>
      </font>
      <numFmt numFmtId="2" formatCode="0.00"/>
      <fill>
        <patternFill patternType="solid">
          <bgColor theme="0"/>
        </patternFill>
      </fill>
      <alignment horizontal="center" vertical="center" readingOrder="0"/>
    </dxf>
  </rfmt>
  <rcc rId="8298" sId="30" odxf="1" dxf="1" numFmtId="4">
    <nc r="D25">
      <v>37.619999999999997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9" sId="30" odxf="1" dxf="1" numFmtId="4">
    <nc r="E25">
      <v>48.36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0" sId="30" odxf="1" dxf="1" numFmtId="4">
    <nc r="F25">
      <v>53.74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5" start="0" length="0">
    <dxf>
      <font>
        <sz val="11"/>
        <color rgb="FF0000FF"/>
        <name val="Arial Narrow"/>
        <scheme val="none"/>
      </font>
      <fill>
        <patternFill patternType="solid">
          <bgColor theme="0"/>
        </patternFill>
      </fill>
      <alignment vertical="center" readingOrder="0"/>
    </dxf>
  </rfmt>
  <rcc rId="8301" sId="30" odxf="1" dxf="1">
    <nc r="A26" t="inlineStr">
      <is>
        <t>Воронка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02" sId="30" odxf="1" dxf="1">
    <nc r="B26">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6" start="0" length="0">
    <dxf>
      <font>
        <sz val="11"/>
        <color auto="1"/>
        <name val="Arial Narrow"/>
        <scheme val="none"/>
      </font>
      <numFmt numFmtId="2" formatCode="0.00"/>
      <fill>
        <patternFill patternType="solid">
          <bgColor theme="0"/>
        </patternFill>
      </fill>
      <alignment horizontal="center" vertical="center" readingOrder="0"/>
    </dxf>
  </rfmt>
  <rcc rId="8303" sId="30" odxf="1" dxf="1" numFmtId="4">
    <nc r="D26">
      <v>198.28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4" sId="30" odxf="1" dxf="1" numFmtId="4">
    <nc r="E26">
      <v>254.94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5" sId="30" odxf="1" dxf="1" numFmtId="4">
    <nc r="F26">
      <v>283.26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6" start="0" length="0">
    <dxf>
      <font>
        <sz val="11"/>
        <color rgb="FF0000FF"/>
        <name val="Arial Narrow"/>
        <scheme val="none"/>
      </font>
      <fill>
        <patternFill patternType="solid">
          <bgColor theme="0"/>
        </patternFill>
      </fill>
      <alignment vertical="center" readingOrder="0"/>
    </dxf>
  </rfmt>
  <rcc rId="8306" sId="30" odxf="1" dxf="1">
    <nc r="A27" t="inlineStr">
      <is>
        <t>Воронка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07" sId="30" odxf="1" dxf="1">
    <nc r="B27">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7" start="0" length="0">
    <dxf>
      <font>
        <sz val="11"/>
        <color auto="1"/>
        <name val="Arial Narrow"/>
        <scheme val="none"/>
      </font>
      <numFmt numFmtId="2" formatCode="0.00"/>
      <fill>
        <patternFill patternType="solid">
          <bgColor theme="0"/>
        </patternFill>
      </fill>
      <alignment horizontal="center" vertical="center" readingOrder="0"/>
    </dxf>
  </rfmt>
  <rcc rId="8308" sId="30" odxf="1" dxf="1" numFmtId="4">
    <nc r="D27">
      <v>208.22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9" sId="30" odxf="1" dxf="1" numFmtId="4">
    <nc r="E27">
      <v>267.70999999999998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0" sId="30" odxf="1" dxf="1" numFmtId="4">
    <nc r="F27">
      <v>297.45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7" start="0" length="0">
    <dxf>
      <font>
        <sz val="11"/>
        <color rgb="FF0000FF"/>
        <name val="Arial Narrow"/>
        <scheme val="none"/>
      </font>
      <fill>
        <patternFill patternType="solid">
          <bgColor theme="0"/>
        </patternFill>
      </fill>
      <alignment vertical="center" readingOrder="0"/>
    </dxf>
  </rfmt>
  <rcc rId="8311" sId="30" odxf="1" dxf="1">
    <nc r="A28" t="inlineStr">
      <is>
        <t>Колено 45°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12" sId="30" odxf="1" dxf="1">
    <nc r="B28">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8" start="0" length="0">
    <dxf>
      <font>
        <sz val="11"/>
        <color auto="1"/>
        <name val="Arial Narrow"/>
        <scheme val="none"/>
      </font>
      <numFmt numFmtId="2" formatCode="0.00"/>
      <fill>
        <patternFill patternType="solid">
          <bgColor theme="0"/>
        </patternFill>
      </fill>
      <alignment horizontal="center" vertical="center" readingOrder="0"/>
    </dxf>
  </rfmt>
  <rcc rId="8313" sId="30" odxf="1" dxf="1" numFmtId="4">
    <nc r="D28">
      <v>123.24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4" sId="30" odxf="1" dxf="1" numFmtId="4">
    <nc r="E28">
      <v>158.44999999999999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5" sId="30" odxf="1" dxf="1" numFmtId="4">
    <nc r="F28">
      <v>176.06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8" start="0" length="0">
    <dxf>
      <font>
        <sz val="11"/>
        <color rgb="FF0000FF"/>
        <name val="Arial Narrow"/>
        <scheme val="none"/>
      </font>
      <fill>
        <patternFill patternType="solid">
          <bgColor theme="0"/>
        </patternFill>
      </fill>
      <alignment vertical="center" readingOrder="0"/>
    </dxf>
  </rfmt>
  <rcc rId="8316" sId="30" odxf="1" dxf="1">
    <nc r="A29" t="inlineStr">
      <is>
        <t>Колено 45°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17" sId="30" odxf="1" dxf="1">
    <nc r="B29">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9" start="0" length="0">
    <dxf>
      <font>
        <sz val="11"/>
        <color auto="1"/>
        <name val="Arial Narrow"/>
        <scheme val="none"/>
      </font>
      <numFmt numFmtId="2" formatCode="0.00"/>
      <fill>
        <patternFill patternType="solid">
          <bgColor theme="0"/>
        </patternFill>
      </fill>
      <alignment horizontal="center" vertical="center" readingOrder="0"/>
    </dxf>
  </rfmt>
  <rcc rId="8318" sId="30" odxf="1" dxf="1" numFmtId="4">
    <nc r="D29">
      <v>129.38999999999999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9" sId="30" odxf="1" dxf="1" numFmtId="4">
    <nc r="E29">
      <v>166.36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0" sId="30" odxf="1" dxf="1" numFmtId="4">
    <nc r="F29">
      <v>184.85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9" start="0" length="0">
    <dxf>
      <font>
        <sz val="11"/>
        <color rgb="FF0000FF"/>
        <name val="Arial Narrow"/>
        <scheme val="none"/>
      </font>
      <fill>
        <patternFill patternType="solid">
          <bgColor theme="0"/>
        </patternFill>
      </fill>
      <alignment vertical="center" readingOrder="0"/>
    </dxf>
  </rfmt>
  <rcc rId="8321" sId="30" odxf="1" dxf="1">
    <nc r="A30" t="inlineStr">
      <is>
        <t>Колено 72°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22" sId="30" odxf="1" dxf="1">
    <nc r="B30">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0" start="0" length="0">
    <dxf>
      <font>
        <sz val="11"/>
        <color auto="1"/>
        <name val="Arial Narrow"/>
        <scheme val="none"/>
      </font>
      <numFmt numFmtId="2" formatCode="0.00"/>
      <fill>
        <patternFill patternType="solid">
          <bgColor theme="0"/>
        </patternFill>
      </fill>
      <alignment horizontal="center" vertical="center" readingOrder="0"/>
    </dxf>
  </rfmt>
  <rcc rId="8323" sId="30" odxf="1" dxf="1" numFmtId="4">
    <nc r="D30">
      <v>123.24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4" sId="30" odxf="1" dxf="1" numFmtId="4">
    <nc r="E30">
      <v>158.44999999999999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5" sId="30" odxf="1" dxf="1" numFmtId="4">
    <nc r="F30">
      <v>176.06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0" start="0" length="0">
    <dxf>
      <font>
        <sz val="11"/>
        <color rgb="FF0000FF"/>
        <name val="Arial Narrow"/>
        <scheme val="none"/>
      </font>
      <fill>
        <patternFill patternType="solid">
          <bgColor theme="0"/>
        </patternFill>
      </fill>
      <alignment vertical="center" readingOrder="0"/>
    </dxf>
  </rfmt>
  <rcc rId="8326" sId="30" odxf="1" dxf="1">
    <nc r="A31" t="inlineStr">
      <is>
        <t>Колено 72°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27" sId="30" odxf="1" dxf="1">
    <nc r="B31">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1" start="0" length="0">
    <dxf>
      <font>
        <sz val="11"/>
        <color auto="1"/>
        <name val="Arial Narrow"/>
        <scheme val="none"/>
      </font>
      <numFmt numFmtId="2" formatCode="0.00"/>
      <fill>
        <patternFill patternType="solid">
          <bgColor theme="0"/>
        </patternFill>
      </fill>
      <alignment horizontal="center" vertical="center" readingOrder="0"/>
    </dxf>
  </rfmt>
  <rcc rId="8328" sId="30" odxf="1" dxf="1" numFmtId="4">
    <nc r="D31">
      <v>129.38999999999999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9" sId="30" odxf="1" dxf="1" numFmtId="4">
    <nc r="E31">
      <v>166.36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0" sId="30" odxf="1" dxf="1" numFmtId="4">
    <nc r="F31">
      <v>184.85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1" start="0" length="0">
    <dxf>
      <font>
        <sz val="11"/>
        <color rgb="FF0000FF"/>
        <name val="Arial Narrow"/>
        <scheme val="none"/>
      </font>
      <fill>
        <patternFill patternType="solid">
          <bgColor theme="0"/>
        </patternFill>
      </fill>
      <alignment vertical="center" readingOrder="0"/>
    </dxf>
  </rfmt>
  <rcc rId="8331" sId="30" odxf="1" dxf="1">
    <nc r="A32" t="inlineStr">
      <is>
        <t>Хомут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32" sId="30" odxf="1" dxf="1">
    <nc r="B32">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2" start="0" length="0">
    <dxf>
      <font>
        <sz val="11"/>
        <color auto="1"/>
        <name val="Arial Narrow"/>
        <scheme val="none"/>
      </font>
      <numFmt numFmtId="2" formatCode="0.00"/>
      <fill>
        <patternFill patternType="solid">
          <bgColor theme="0"/>
        </patternFill>
      </fill>
      <alignment horizontal="center" vertical="center" readingOrder="0"/>
    </dxf>
  </rfmt>
  <rcc rId="8333" sId="30" odxf="1" dxf="1" numFmtId="4">
    <nc r="D32">
      <v>49.46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4" sId="30" odxf="1" dxf="1" numFmtId="4">
    <nc r="E32">
      <v>63.59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5" sId="30" odxf="1" dxf="1" numFmtId="4">
    <nc r="F32">
      <v>70.66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2" start="0" length="0">
    <dxf>
      <font>
        <sz val="11"/>
        <color rgb="FF0000FF"/>
        <name val="Arial Narrow"/>
        <scheme val="none"/>
      </font>
      <fill>
        <patternFill patternType="solid">
          <bgColor theme="0"/>
        </patternFill>
      </fill>
      <alignment vertical="center" readingOrder="0"/>
    </dxf>
  </rfmt>
  <rcc rId="8336" sId="30" odxf="1" dxf="1">
    <nc r="A33" t="inlineStr">
      <is>
        <t>Хомут универсальный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37" sId="30" odxf="1" dxf="1">
    <nc r="B33">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3" start="0" length="0">
    <dxf>
      <font>
        <sz val="11"/>
        <color auto="1"/>
        <name val="Arial Narrow"/>
        <scheme val="none"/>
      </font>
      <numFmt numFmtId="2" formatCode="0.00"/>
      <fill>
        <patternFill patternType="solid">
          <bgColor theme="0"/>
        </patternFill>
      </fill>
      <alignment horizontal="center" vertical="center" readingOrder="0"/>
    </dxf>
  </rfmt>
  <rcc rId="8338" sId="30" odxf="1" dxf="1" numFmtId="4">
    <nc r="D33">
      <v>51.95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9" sId="30" odxf="1" dxf="1" numFmtId="4">
    <nc r="E33">
      <v>66.790000000000006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0" sId="30" odxf="1" dxf="1" numFmtId="4">
    <nc r="F33">
      <v>74.209999999999994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3" start="0" length="0">
    <dxf>
      <font>
        <sz val="11"/>
        <color rgb="FF0000FF"/>
        <name val="Arial Narrow"/>
        <scheme val="none"/>
      </font>
      <fill>
        <patternFill patternType="solid">
          <bgColor theme="0"/>
        </patternFill>
      </fill>
      <alignment vertical="center" readingOrder="0"/>
    </dxf>
  </rfmt>
  <rcc rId="8341" sId="30" odxf="1" dxf="1">
    <nc r="A34" t="inlineStr">
      <is>
        <t>Наконечник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42" sId="30" odxf="1" dxf="1">
    <nc r="B34">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4" start="0" length="0">
    <dxf>
      <font>
        <sz val="11"/>
        <color auto="1"/>
        <name val="Arial Narrow"/>
        <scheme val="none"/>
      </font>
      <numFmt numFmtId="2" formatCode="0.00"/>
      <fill>
        <patternFill patternType="solid">
          <bgColor theme="0"/>
        </patternFill>
      </fill>
      <alignment horizontal="center" vertical="center" readingOrder="0"/>
    </dxf>
  </rfmt>
  <rcc rId="8343" sId="30" odxf="1" dxf="1" numFmtId="4">
    <nc r="D34">
      <v>116.98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4" sId="30" odxf="1" dxf="1" numFmtId="4">
    <nc r="E34">
      <v>150.4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5" sId="30" odxf="1" dxf="1" numFmtId="4">
    <nc r="F34">
      <v>167.11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4" start="0" length="0">
    <dxf>
      <font>
        <sz val="11"/>
        <color rgb="FF0000FF"/>
        <name val="Arial Narrow"/>
        <scheme val="none"/>
      </font>
      <fill>
        <patternFill patternType="solid">
          <bgColor theme="0"/>
        </patternFill>
      </fill>
      <alignment vertical="center" readingOrder="0"/>
    </dxf>
  </rfmt>
  <rcc rId="8346" sId="30" odxf="1" dxf="1">
    <nc r="A35" t="inlineStr">
      <is>
        <t>Наконечник Шоколад, Гранат,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47" sId="30" odxf="1" dxf="1">
    <nc r="B35">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5" start="0" length="0">
    <dxf>
      <font>
        <sz val="11"/>
        <color auto="1"/>
        <name val="Arial Narrow"/>
        <scheme val="none"/>
      </font>
      <numFmt numFmtId="2" formatCode="0.00"/>
      <fill>
        <patternFill patternType="solid">
          <bgColor theme="0"/>
        </patternFill>
      </fill>
      <alignment horizontal="center" vertical="center" readingOrder="0"/>
    </dxf>
  </rfmt>
  <rcc rId="8348" sId="30" odxf="1" dxf="1" numFmtId="4">
    <nc r="D35">
      <v>122.83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9" sId="30" odxf="1" dxf="1" numFmtId="4">
    <nc r="E35">
      <v>157.91999999999999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50" sId="30" odxf="1" dxf="1" numFmtId="4">
    <nc r="F35">
      <v>175.47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5" start="0" length="0">
    <dxf>
      <font>
        <sz val="11"/>
        <color rgb="FF0000FF"/>
        <name val="Arial Narrow"/>
        <scheme val="none"/>
      </font>
      <fill>
        <patternFill patternType="solid">
          <bgColor theme="0"/>
        </patternFill>
      </fill>
      <alignment vertical="center" readingOrder="0"/>
    </dxf>
  </rfmt>
  <rcc rId="8351" sId="30" odxf="1" dxf="1">
    <nc r="A36" t="inlineStr">
      <is>
        <t>Сетка защитная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52" sId="30" odxf="1" dxf="1">
    <nc r="B36">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6" start="0" length="0">
    <dxf>
      <font>
        <sz val="11"/>
        <color auto="1"/>
        <name val="Arial Narrow"/>
        <scheme val="none"/>
      </font>
      <numFmt numFmtId="2" formatCode="0.00"/>
      <fill>
        <patternFill patternType="solid">
          <bgColor theme="0"/>
        </patternFill>
      </fill>
      <alignment horizontal="center" vertical="center" readingOrder="0"/>
    </dxf>
  </rfmt>
  <rcc rId="8353" sId="30" odxf="1" dxf="1" numFmtId="4">
    <nc r="D36">
      <v>41.38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54" sId="30" odxf="1" dxf="1" numFmtId="4">
    <nc r="E36">
      <v>53.2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55" sId="30" odxf="1" dxf="1" numFmtId="4">
    <nc r="F36">
      <v>59.11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6" start="0" length="0">
    <dxf>
      <font>
        <sz val="11"/>
        <color rgb="FF0000FF"/>
        <name val="Arial Narrow"/>
        <scheme val="none"/>
      </font>
      <fill>
        <patternFill patternType="solid">
          <bgColor theme="0"/>
        </patternFill>
      </fill>
      <alignment vertical="center" readingOrder="0"/>
    </dxf>
  </rfmt>
  <rcc rId="8356" sId="30" odxf="1" dxf="1">
    <nc r="A37" t="inlineStr">
      <is>
        <t>Сетка защитная Шоколад, Гранат, Каштан</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8357" sId="30" odxf="1" dxf="1">
    <nc r="B37">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7" start="0" length="0">
    <dxf>
      <font>
        <sz val="11"/>
        <color auto="1"/>
        <name val="Arial Narrow"/>
        <scheme val="none"/>
      </font>
      <fill>
        <patternFill patternType="solid">
          <bgColor theme="0"/>
        </patternFill>
      </fill>
      <alignment vertical="center" readingOrder="0"/>
    </dxf>
  </rfmt>
  <rcc rId="8358" sId="30" odxf="1" dxf="1" numFmtId="4">
    <nc r="D37">
      <v>43.45</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8359" sId="30" odxf="1" dxf="1" numFmtId="4">
    <nc r="E37">
      <v>55.87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60" sId="30" odxf="1" dxf="1" numFmtId="4">
    <nc r="F37">
      <v>62.08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7" start="0" length="0">
    <dxf>
      <font>
        <sz val="11"/>
        <color theme="1"/>
        <name val="Arial Narrow"/>
        <scheme val="none"/>
      </font>
      <fill>
        <patternFill patternType="solid">
          <bgColor theme="0"/>
        </patternFill>
      </fill>
      <alignment vertical="center" readingOrder="0"/>
    </dxf>
  </rfmt>
  <rcc rId="8361" sId="30" odxf="1" dxf="1">
    <nc r="A38" t="inlineStr">
      <is>
        <t>Кронштейн желоба металлический 300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62" sId="30" odxf="1" dxf="1">
    <nc r="B38">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8" start="0" length="0">
    <dxf>
      <font>
        <sz val="11"/>
        <color auto="1"/>
        <name val="Arial Narrow"/>
        <scheme val="none"/>
      </font>
      <numFmt numFmtId="2" formatCode="0.00"/>
      <fill>
        <patternFill patternType="solid">
          <bgColor theme="0"/>
        </patternFill>
      </fill>
      <alignment horizontal="center" vertical="center" readingOrder="0"/>
    </dxf>
  </rfmt>
  <rcc rId="8363" sId="30" odxf="1" dxf="1" numFmtId="4">
    <nc r="D38">
      <v>114.6</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8364" sId="30" odxf="1" dxf="1" numFmtId="4">
    <nc r="E38">
      <v>147.35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65" sId="30" odxf="1" dxf="1" numFmtId="4">
    <nc r="F38">
      <v>163.72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8" start="0" length="0">
    <dxf>
      <font>
        <sz val="11"/>
        <color rgb="FF0000FF"/>
        <name val="Arial Narrow"/>
        <scheme val="none"/>
      </font>
      <fill>
        <patternFill patternType="solid">
          <bgColor theme="0"/>
        </patternFill>
      </fill>
      <alignment vertical="center" readingOrder="0"/>
    </dxf>
  </rfmt>
  <rcc rId="8366" sId="30" odxf="1" dxf="1">
    <nc r="A39" t="inlineStr">
      <is>
        <t>Кронштейн желоба металлический 300 мм Шоколад, Гранат,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67" sId="30" odxf="1" dxf="1">
    <nc r="B39">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9" start="0" length="0">
    <dxf>
      <font>
        <sz val="11"/>
        <color auto="1"/>
        <name val="Arial Narrow"/>
        <scheme val="none"/>
      </font>
      <numFmt numFmtId="2" formatCode="0.00"/>
      <fill>
        <patternFill patternType="solid">
          <bgColor theme="0"/>
        </patternFill>
      </fill>
      <alignment horizontal="center" vertical="center" readingOrder="0"/>
    </dxf>
  </rfmt>
  <rcc rId="8368" sId="30" odxf="1" dxf="1" numFmtId="4">
    <nc r="D39">
      <v>114.6</v>
    </nc>
    <odxf>
      <font>
        <sz val="11"/>
        <color theme="1"/>
        <name val="Calibri"/>
        <scheme val="minor"/>
      </font>
      <numFmt numFmtId="0" formatCode="General"/>
      <alignment vertical="bottom" readingOrder="0"/>
      <border outline="0">
        <left/>
        <right/>
        <top/>
        <bottom/>
      </border>
    </odxf>
    <ndxf>
      <font>
        <sz val="11"/>
        <color auto="1"/>
        <name val="Arial Narrow"/>
        <scheme val="none"/>
      </font>
      <numFmt numFmtId="2" formatCode="0.00"/>
      <alignment vertical="center" readingOrder="0"/>
      <border outline="0">
        <left style="thin">
          <color indexed="64"/>
        </left>
        <right style="thin">
          <color indexed="64"/>
        </right>
        <top style="thin">
          <color indexed="64"/>
        </top>
        <bottom style="thin">
          <color indexed="64"/>
        </bottom>
      </border>
    </ndxf>
  </rcc>
  <rcc rId="8369" sId="30" odxf="1" dxf="1" numFmtId="4">
    <nc r="E39">
      <v>147.35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70" sId="30" odxf="1" dxf="1" numFmtId="4">
    <nc r="F39">
      <v>163.72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9" start="0" length="0">
    <dxf>
      <font>
        <sz val="11"/>
        <color rgb="FF0000FF"/>
        <name val="Arial Narrow"/>
        <scheme val="none"/>
      </font>
      <fill>
        <patternFill patternType="solid">
          <bgColor theme="0"/>
        </patternFill>
      </fill>
      <alignment vertical="center" readingOrder="0"/>
    </dxf>
  </rfmt>
  <rcc rId="8371" sId="30" odxf="1" dxf="1">
    <nc r="A40" t="inlineStr">
      <is>
        <t>Шпилька специальная с гайкой 120 мм  (оцинкованная)</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72" sId="30" odxf="1" dxf="1">
    <nc r="B40">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40" start="0" length="0">
    <dxf>
      <font>
        <sz val="11"/>
        <color auto="1"/>
        <name val="Arial Narrow"/>
        <scheme val="none"/>
      </font>
      <numFmt numFmtId="2" formatCode="0.00"/>
      <fill>
        <patternFill patternType="solid">
          <bgColor theme="0"/>
        </patternFill>
      </fill>
      <alignment horizontal="center" vertical="center" readingOrder="0"/>
    </dxf>
  </rfmt>
  <rcc rId="8373" sId="30" odxf="1" dxf="1" numFmtId="4">
    <nc r="D40">
      <v>101.53</v>
    </nc>
    <odxf>
      <font>
        <sz val="11"/>
        <color theme="1"/>
        <name val="Calibri"/>
        <scheme val="minor"/>
      </font>
      <numFmt numFmtId="0" formatCode="General"/>
      <alignment vertical="bottom" readingOrder="0"/>
      <border outline="0">
        <left/>
        <right/>
        <top/>
        <bottom/>
      </border>
    </odxf>
    <ndxf>
      <font>
        <sz val="11"/>
        <color auto="1"/>
        <name val="Arial Narrow"/>
        <scheme val="none"/>
      </font>
      <numFmt numFmtId="2" formatCode="0.00"/>
      <alignment vertical="center" readingOrder="0"/>
      <border outline="0">
        <left style="thin">
          <color indexed="64"/>
        </left>
        <right style="thin">
          <color indexed="64"/>
        </right>
        <top style="thin">
          <color indexed="64"/>
        </top>
        <bottom style="thin">
          <color indexed="64"/>
        </bottom>
      </border>
    </ndxf>
  </rcc>
  <rcc rId="8374" sId="30" odxf="1" dxf="1" numFmtId="4">
    <nc r="E40">
      <v>130.53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75" sId="30" odxf="1" dxf="1" numFmtId="4">
    <nc r="F40">
      <v>145.04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40" start="0" length="0">
    <dxf>
      <font>
        <sz val="11"/>
        <color rgb="FF0000FF"/>
        <name val="Arial Narrow"/>
        <scheme val="none"/>
      </font>
      <fill>
        <patternFill patternType="solid">
          <bgColor theme="0"/>
        </patternFill>
      </fill>
      <alignment vertical="center" readingOrder="0"/>
    </dxf>
  </rfmt>
  <rfmt sheetId="30" sqref="A41" start="0" length="0">
    <dxf>
      <font>
        <sz val="11"/>
        <color auto="1"/>
        <name val="Arial Narrow"/>
        <scheme val="none"/>
      </font>
      <fill>
        <patternFill patternType="solid">
          <bgColor theme="0"/>
        </patternFill>
      </fill>
      <alignment vertical="center" readingOrder="0"/>
    </dxf>
  </rfmt>
  <rfmt sheetId="30" sqref="B41" start="0" length="0">
    <dxf>
      <font>
        <sz val="11"/>
        <color theme="1"/>
        <name val="Arial Narrow"/>
        <scheme val="none"/>
      </font>
      <fill>
        <patternFill patternType="solid">
          <bgColor theme="0"/>
        </patternFill>
      </fill>
      <alignment vertical="center" readingOrder="0"/>
    </dxf>
  </rfmt>
  <rfmt sheetId="30" sqref="C41" start="0" length="0">
    <dxf>
      <font>
        <sz val="11"/>
        <color auto="1"/>
        <name val="Arial Narrow"/>
        <scheme val="none"/>
      </font>
      <fill>
        <patternFill patternType="solid">
          <bgColor theme="0"/>
        </patternFill>
      </fill>
      <alignment vertical="center" readingOrder="0"/>
    </dxf>
  </rfmt>
  <rcc rId="8376" sId="30" odxf="1" dxf="1">
    <nc r="D41" t="inlineStr">
      <is>
        <t>Установленные по Соглашению Цены Завода - производителя от 09.07.2018г</t>
      </is>
    </nc>
    <odxf>
      <font>
        <b val="0"/>
        <i val="0"/>
        <sz val="11"/>
        <color theme="1"/>
        <name val="Calibri"/>
        <scheme val="minor"/>
      </font>
      <numFmt numFmtId="0" formatCode="General"/>
      <fill>
        <patternFill patternType="none">
          <bgColor indexed="65"/>
        </patternFill>
      </fill>
      <alignment vertical="bottom" wrapText="0" readingOrder="0"/>
      <border outline="0">
        <top/>
      </border>
    </odxf>
    <ndxf>
      <font>
        <b/>
        <i/>
        <sz val="11"/>
        <color auto="1"/>
        <name val="Arial Narrow"/>
        <scheme val="none"/>
      </font>
      <numFmt numFmtId="13" formatCode="0%"/>
      <fill>
        <patternFill patternType="solid">
          <bgColor rgb="FFFFFF99"/>
        </patternFill>
      </fill>
      <alignment vertical="center" wrapText="1" readingOrder="0"/>
      <border outline="0">
        <top style="thin">
          <color indexed="64"/>
        </top>
      </border>
    </ndxf>
  </rcc>
  <rfmt sheetId="30" sqref="E41" start="0" length="0">
    <dxf>
      <font>
        <b/>
        <sz val="11"/>
        <color theme="1"/>
        <name val="Calibri"/>
        <scheme val="minor"/>
      </font>
      <fill>
        <patternFill patternType="solid">
          <bgColor rgb="FFFFFF99"/>
        </patternFill>
      </fill>
      <alignment vertical="center" wrapText="1" readingOrder="0"/>
      <border outline="0">
        <top style="thin">
          <color indexed="64"/>
        </top>
      </border>
    </dxf>
  </rfmt>
  <rfmt sheetId="30" sqref="F41" start="0" length="0">
    <dxf>
      <font>
        <b/>
        <sz val="11"/>
        <color theme="1"/>
        <name val="Calibri"/>
        <scheme val="minor"/>
      </font>
      <fill>
        <patternFill patternType="solid">
          <bgColor rgb="FFFFFF99"/>
        </patternFill>
      </fill>
      <alignment vertical="center" wrapText="1" readingOrder="0"/>
      <border outline="0">
        <top style="thin">
          <color indexed="64"/>
        </top>
      </border>
    </dxf>
  </rfmt>
  <rfmt sheetId="30" sqref="G41" start="0" length="0">
    <dxf>
      <font>
        <sz val="11"/>
        <color theme="1"/>
        <name val="Arial Narrow"/>
        <scheme val="none"/>
      </font>
      <fill>
        <patternFill patternType="solid">
          <bgColor theme="0"/>
        </patternFill>
      </fill>
      <alignment vertical="center" readingOrder="0"/>
    </dxf>
  </rfmt>
  <rfmt sheetId="30" sqref="A42" start="0" length="0">
    <dxf>
      <font>
        <b/>
        <sz val="11"/>
        <color auto="1"/>
        <name val="Arial Narrow"/>
        <scheme val="none"/>
      </font>
      <fill>
        <patternFill patternType="solid">
          <bgColor theme="0"/>
        </patternFill>
      </fill>
      <alignment horizontal="left" vertical="center" readingOrder="0"/>
    </dxf>
  </rfmt>
  <rfmt sheetId="30" sqref="B42" start="0" length="0">
    <dxf>
      <font>
        <sz val="11"/>
        <color theme="1"/>
        <name val="Arial Narrow"/>
        <scheme val="none"/>
      </font>
      <fill>
        <patternFill patternType="solid">
          <bgColor theme="8" tint="0.79998168889431442"/>
        </patternFill>
      </fill>
      <alignment vertical="center" readingOrder="0"/>
    </dxf>
  </rfmt>
  <rfmt sheetId="30" sqref="C42" start="0" length="0">
    <dxf>
      <font>
        <sz val="11"/>
        <color auto="1"/>
        <name val="Arial Narrow"/>
        <scheme val="none"/>
      </font>
      <fill>
        <patternFill patternType="solid">
          <bgColor theme="8" tint="0.79998168889431442"/>
        </patternFill>
      </fill>
      <alignment vertical="center" readingOrder="0"/>
    </dxf>
  </rfmt>
  <rfmt sheetId="30" sqref="D42" start="0" length="0">
    <dxf>
      <font>
        <b/>
        <sz val="11"/>
        <color theme="1"/>
        <name val="Calibri"/>
        <scheme val="minor"/>
      </font>
      <fill>
        <patternFill patternType="solid">
          <bgColor rgb="FFFFFF99"/>
        </patternFill>
      </fill>
      <alignment vertical="center" wrapText="1" readingOrder="0"/>
    </dxf>
  </rfmt>
  <rfmt sheetId="30" sqref="E42" start="0" length="0">
    <dxf>
      <font>
        <b/>
        <sz val="11"/>
        <color theme="1"/>
        <name val="Calibri"/>
        <scheme val="minor"/>
      </font>
      <fill>
        <patternFill patternType="solid">
          <bgColor rgb="FFFFFF99"/>
        </patternFill>
      </fill>
      <alignment vertical="center" wrapText="1" readingOrder="0"/>
    </dxf>
  </rfmt>
  <rfmt sheetId="30" sqref="F42" start="0" length="0">
    <dxf>
      <font>
        <b/>
        <sz val="11"/>
        <color theme="1"/>
        <name val="Calibri"/>
        <scheme val="minor"/>
      </font>
      <fill>
        <patternFill patternType="solid">
          <bgColor rgb="FFFFFF99"/>
        </patternFill>
      </fill>
      <alignment vertical="center" wrapText="1" readingOrder="0"/>
    </dxf>
  </rfmt>
  <rfmt sheetId="30" sqref="G42" start="0" length="0">
    <dxf>
      <font>
        <sz val="11"/>
        <color theme="1"/>
        <name val="Arial Narrow"/>
        <scheme val="none"/>
      </font>
      <fill>
        <patternFill patternType="solid">
          <bgColor theme="8" tint="0.79998168889431442"/>
        </patternFill>
      </fill>
      <alignment vertical="center" readingOrder="0"/>
    </dxf>
  </rfmt>
  <rfmt sheetId="30" sqref="A43" start="0" length="0">
    <dxf>
      <font>
        <sz val="11"/>
        <color theme="1"/>
        <name val="Arial Narrow"/>
        <scheme val="none"/>
      </font>
      <fill>
        <patternFill patternType="solid">
          <bgColor theme="8" tint="0.79998168889431442"/>
        </patternFill>
      </fill>
      <alignment vertical="center" readingOrder="0"/>
    </dxf>
  </rfmt>
  <rfmt sheetId="30" sqref="B43" start="0" length="0">
    <dxf>
      <font>
        <sz val="11"/>
        <color theme="1"/>
        <name val="Arial Narrow"/>
        <scheme val="none"/>
      </font>
      <fill>
        <patternFill patternType="solid">
          <bgColor theme="8" tint="0.79998168889431442"/>
        </patternFill>
      </fill>
      <alignment vertical="center" readingOrder="0"/>
    </dxf>
  </rfmt>
  <rfmt sheetId="30" sqref="C43" start="0" length="0">
    <dxf>
      <font>
        <sz val="11"/>
        <color auto="1"/>
        <name val="Arial Narrow"/>
        <scheme val="none"/>
      </font>
      <fill>
        <patternFill patternType="solid">
          <bgColor theme="8" tint="0.79998168889431442"/>
        </patternFill>
      </fill>
      <alignment vertical="center" readingOrder="0"/>
    </dxf>
  </rfmt>
  <rfmt sheetId="30" sqref="D43" start="0" length="0">
    <dxf>
      <font>
        <b/>
        <sz val="11"/>
        <color theme="1"/>
        <name val="Calibri"/>
        <scheme val="minor"/>
      </font>
      <fill>
        <patternFill patternType="solid">
          <bgColor rgb="FFFFFF99"/>
        </patternFill>
      </fill>
      <alignment vertical="center" wrapText="1" readingOrder="0"/>
    </dxf>
  </rfmt>
  <rfmt sheetId="30" sqref="E43" start="0" length="0">
    <dxf>
      <font>
        <b/>
        <sz val="11"/>
        <color theme="1"/>
        <name val="Calibri"/>
        <scheme val="minor"/>
      </font>
      <fill>
        <patternFill patternType="solid">
          <bgColor rgb="FFFFFF99"/>
        </patternFill>
      </fill>
      <alignment vertical="center" wrapText="1" readingOrder="0"/>
    </dxf>
  </rfmt>
  <rfmt sheetId="30" sqref="F43" start="0" length="0">
    <dxf>
      <font>
        <b/>
        <sz val="11"/>
        <color theme="1"/>
        <name val="Calibri"/>
        <scheme val="minor"/>
      </font>
      <fill>
        <patternFill patternType="solid">
          <bgColor rgb="FFFFFF99"/>
        </patternFill>
      </fill>
      <alignment vertical="center" wrapText="1" readingOrder="0"/>
    </dxf>
  </rfmt>
  <rfmt sheetId="30" sqref="G43" start="0" length="0">
    <dxf>
      <font>
        <sz val="11"/>
        <color theme="1"/>
        <name val="Arial Narrow"/>
        <scheme val="none"/>
      </font>
      <fill>
        <patternFill patternType="solid">
          <bgColor theme="8" tint="0.79998168889431442"/>
        </patternFill>
      </fill>
      <alignment vertical="center" readingOrder="0"/>
    </dxf>
  </rfmt>
  <rfmt sheetId="30" sqref="A44" start="0" length="0">
    <dxf>
      <font>
        <sz val="11"/>
        <color theme="1"/>
        <name val="Arial Narrow"/>
        <scheme val="none"/>
      </font>
      <fill>
        <patternFill patternType="solid">
          <bgColor theme="8" tint="0.79998168889431442"/>
        </patternFill>
      </fill>
      <alignment vertical="center" readingOrder="0"/>
    </dxf>
  </rfmt>
  <rfmt sheetId="30" sqref="B44" start="0" length="0">
    <dxf>
      <font>
        <sz val="11"/>
        <color theme="1"/>
        <name val="Arial Narrow"/>
        <scheme val="none"/>
      </font>
      <fill>
        <patternFill patternType="solid">
          <bgColor theme="8" tint="0.79998168889431442"/>
        </patternFill>
      </fill>
      <alignment vertical="center" readingOrder="0"/>
    </dxf>
  </rfmt>
  <rfmt sheetId="30" sqref="C44" start="0" length="0">
    <dxf>
      <font>
        <sz val="11"/>
        <color auto="1"/>
        <name val="Arial Narrow"/>
        <scheme val="none"/>
      </font>
      <fill>
        <patternFill patternType="solid">
          <bgColor theme="8" tint="0.79998168889431442"/>
        </patternFill>
      </fill>
      <alignment vertical="center" readingOrder="0"/>
    </dxf>
  </rfmt>
  <rfmt sheetId="30" sqref="D44" start="0" length="0">
    <dxf>
      <font>
        <sz val="11"/>
        <color auto="1"/>
        <name val="Arial Narrow"/>
        <scheme val="none"/>
      </font>
      <fill>
        <patternFill patternType="solid">
          <bgColor theme="8" tint="0.79998168889431442"/>
        </patternFill>
      </fill>
      <alignment vertical="center" readingOrder="0"/>
    </dxf>
  </rfmt>
  <rfmt sheetId="30" sqref="E44" start="0" length="0">
    <dxf>
      <font>
        <sz val="11"/>
        <color auto="1"/>
        <name val="Arial Narrow"/>
        <scheme val="none"/>
      </font>
      <fill>
        <patternFill patternType="solid">
          <bgColor theme="8" tint="0.79998168889431442"/>
        </patternFill>
      </fill>
      <alignment vertical="center" readingOrder="0"/>
    </dxf>
  </rfmt>
  <rfmt sheetId="30" sqref="F44" start="0" length="0">
    <dxf>
      <font>
        <sz val="11"/>
        <color auto="1"/>
        <name val="Arial Narrow"/>
        <scheme val="none"/>
      </font>
      <fill>
        <patternFill patternType="solid">
          <bgColor theme="8" tint="0.79998168889431442"/>
        </patternFill>
      </fill>
      <alignment vertical="center" readingOrder="0"/>
    </dxf>
  </rfmt>
  <rfmt sheetId="30" sqref="G44" start="0" length="0">
    <dxf>
      <font>
        <sz val="11"/>
        <color theme="1"/>
        <name val="Arial Narrow"/>
        <scheme val="none"/>
      </font>
      <fill>
        <patternFill patternType="solid">
          <bgColor theme="8" tint="0.79998168889431442"/>
        </patternFill>
      </fill>
      <alignment vertical="center" readingOrder="0"/>
    </dxf>
  </rfmt>
  <rcc rId="8377" sId="30" xfDxf="1" dxf="1">
    <nc r="A2" t="inlineStr">
      <is>
        <t>ООО "ЦЕНТР-ТИМ"   Платонов Иван 89536104242  centrtim57@mail.ru  28/03/19</t>
      </is>
    </nc>
  </rcc>
  <rfmt sheetId="30" sqref="A2" start="0" length="2147483647">
    <dxf>
      <font>
        <sz val="22"/>
      </font>
    </dxf>
  </rfmt>
  <rrc rId="8378" sId="30" ref="A1:XFD1" action="deleteRow">
    <rfmt sheetId="30" xfDxf="1" sqref="A1:XFD1" start="0" length="0"/>
  </rrc>
  <rfmt sheetId="30" sqref="A1:F1">
    <dxf>
      <fill>
        <patternFill patternType="solid">
          <bgColor rgb="FF00B0F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xml><?xml version="1.0" encoding="utf-8"?>
<revisions xmlns="http://schemas.openxmlformats.org/spreadsheetml/2006/main" xmlns:r="http://schemas.openxmlformats.org/officeDocument/2006/relationships">
  <ris rId="8015" sheetId="29" name="[ПРАЙС ЦЕНТР-ТИМ 2019 обновленный.xlsx]Фасадные Панели ДЕКЕ" sheetPosition="28"/>
  <rcc rId="8016" sId="29" odxf="1" dxf="1">
    <nc r="A3" t="inlineStr">
      <is>
        <t>Наименование</t>
      </is>
    </nc>
    <odxf>
      <font>
        <b val="0"/>
        <sz val="11"/>
        <color theme="1"/>
        <name val="Calibri"/>
        <scheme val="minor"/>
      </font>
      <alignment horizontal="general" vertical="bottom" wrapText="0" readingOrder="0"/>
      <border outline="0">
        <left/>
        <right/>
        <top/>
        <bottom/>
      </border>
    </odxf>
    <ndxf>
      <font>
        <b/>
        <sz val="18"/>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8017" sId="29" odxf="1" dxf="1">
    <nc r="B3" t="inlineStr">
      <is>
        <t>Кол-во  в упаковке</t>
      </is>
    </nc>
    <odxf>
      <font>
        <b val="0"/>
        <sz val="11"/>
        <color theme="1"/>
        <name val="Calibri"/>
        <scheme val="minor"/>
      </font>
      <alignment horizontal="general" vertical="bottom" wrapText="0" readingOrder="0"/>
      <border outline="0">
        <left/>
        <right/>
        <top/>
        <bottom/>
      </border>
    </odxf>
    <ndxf>
      <font>
        <b/>
        <sz val="10"/>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29" sqref="C3" start="0" length="0">
    <dxf>
      <font>
        <b/>
        <sz val="10"/>
        <color auto="1"/>
        <name val="Arial Narrow"/>
        <scheme val="none"/>
      </font>
      <fill>
        <patternFill patternType="solid">
          <bgColor theme="0"/>
        </patternFill>
      </fill>
      <alignment horizontal="center" vertical="center" wrapText="1" readingOrder="0"/>
    </dxf>
  </rfmt>
  <rcc rId="8018" sId="29" odxf="1" dxf="1">
    <nc r="D3" t="inlineStr">
      <is>
        <t>Для Торгующих и Кровельных Организаций</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medium">
          <color indexed="64"/>
        </left>
        <right style="thin">
          <color indexed="64"/>
        </right>
        <top style="medium">
          <color indexed="64"/>
        </top>
        <bottom style="medium">
          <color indexed="64"/>
        </bottom>
      </border>
    </ndxf>
  </rcc>
  <rcc rId="8019" sId="29"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medium">
          <color indexed="64"/>
        </top>
        <bottom style="medium">
          <color indexed="64"/>
        </bottom>
      </border>
    </ndxf>
  </rcc>
  <rcc rId="8020" sId="29"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rgb="FFCCFFCC"/>
        </patternFill>
      </fill>
      <alignment horizontal="center" vertical="center" wrapText="1" readingOrder="0"/>
      <border outline="0">
        <left style="thin">
          <color indexed="64"/>
        </left>
        <right style="medium">
          <color indexed="64"/>
        </right>
        <top style="medium">
          <color indexed="64"/>
        </top>
        <bottom style="medium">
          <color indexed="64"/>
        </bottom>
      </border>
    </ndxf>
  </rcc>
  <rfmt sheetId="29" sqref="G3" start="0" length="0">
    <dxf>
      <font>
        <sz val="9"/>
        <color theme="1"/>
        <name val="Arial Narrow"/>
        <scheme val="none"/>
      </font>
      <fill>
        <patternFill patternType="solid">
          <bgColor theme="0"/>
        </patternFill>
      </fill>
      <alignment horizontal="center" vertical="center" readingOrder="0"/>
    </dxf>
  </rfmt>
  <rfmt sheetId="29" sqref="A4" start="0" length="0">
    <dxf>
      <font>
        <sz val="11"/>
        <color auto="1"/>
        <name val="Arial Narrow"/>
        <scheme val="none"/>
      </font>
      <alignment vertical="center" readingOrder="0"/>
    </dxf>
  </rfmt>
  <rfmt sheetId="29" sqref="B4" start="0" length="0">
    <dxf>
      <font>
        <sz val="11"/>
        <color auto="1"/>
        <name val="Arial Narrow"/>
        <scheme val="none"/>
      </font>
      <alignment vertical="center" readingOrder="0"/>
    </dxf>
  </rfmt>
  <rfmt sheetId="29" sqref="C4" start="0" length="0">
    <dxf>
      <font>
        <sz val="11"/>
        <color auto="1"/>
        <name val="Arial Narrow"/>
        <scheme val="none"/>
      </font>
      <numFmt numFmtId="2" formatCode="0.00"/>
      <fill>
        <patternFill patternType="solid">
          <bgColor theme="0"/>
        </patternFill>
      </fill>
      <alignment horizontal="center" vertical="center" readingOrder="0"/>
    </dxf>
  </rfmt>
  <rfmt sheetId="29" sqref="D4" start="0" length="0">
    <dxf>
      <font>
        <sz val="11"/>
        <color auto="1"/>
        <name val="Arial Narrow"/>
        <scheme val="none"/>
      </font>
      <numFmt numFmtId="168" formatCode="#,##0.00&quot;р.&quot;"/>
      <fill>
        <patternFill patternType="solid">
          <bgColor theme="0"/>
        </patternFill>
      </fill>
      <alignment vertical="center" readingOrder="0"/>
    </dxf>
  </rfmt>
  <rfmt sheetId="29" sqref="E4" start="0" length="0">
    <dxf>
      <font>
        <sz val="11"/>
        <color auto="1"/>
        <name val="Arial Narrow"/>
        <scheme val="none"/>
      </font>
      <numFmt numFmtId="168" formatCode="#,##0.00&quot;р.&quot;"/>
      <fill>
        <patternFill patternType="solid">
          <bgColor theme="0"/>
        </patternFill>
      </fill>
      <alignment vertical="center" readingOrder="0"/>
    </dxf>
  </rfmt>
  <rfmt sheetId="29" sqref="F4" start="0" length="0">
    <dxf>
      <font>
        <sz val="11"/>
        <color auto="1"/>
        <name val="Arial Narrow"/>
        <scheme val="none"/>
      </font>
      <numFmt numFmtId="168" formatCode="#,##0.00&quot;р.&quot;"/>
      <fill>
        <patternFill patternType="solid">
          <bgColor theme="0"/>
        </patternFill>
      </fill>
      <alignment vertical="center" readingOrder="0"/>
    </dxf>
  </rfmt>
  <rfmt sheetId="29" sqref="G4" start="0" length="0">
    <dxf>
      <font>
        <sz val="11"/>
        <color theme="1"/>
        <name val="Arial Narrow"/>
        <scheme val="none"/>
      </font>
      <fill>
        <patternFill patternType="solid">
          <bgColor theme="0"/>
        </patternFill>
      </fill>
      <alignment vertical="center" readingOrder="0"/>
    </dxf>
  </rfmt>
  <rcc rId="8021" sId="29" odxf="1" dxf="1">
    <nc r="A5" t="inlineStr">
      <is>
        <t>Фасадные панели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022" sId="29"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5" start="0" length="0">
    <dxf>
      <font>
        <b/>
        <sz val="11"/>
        <color auto="1"/>
        <name val="Arial Narrow"/>
        <scheme val="none"/>
      </font>
      <numFmt numFmtId="2" formatCode="0.00"/>
      <fill>
        <patternFill patternType="solid">
          <bgColor theme="0"/>
        </patternFill>
      </fill>
      <alignment horizontal="center" vertical="center" readingOrder="0"/>
    </dxf>
  </rfmt>
  <rfmt sheetId="29"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5" start="0" length="0">
    <dxf>
      <fill>
        <patternFill patternType="solid">
          <bgColor rgb="FFFFFF00"/>
        </patternFill>
      </fill>
      <alignment vertical="center" wrapText="1" readingOrder="0"/>
      <border outline="0">
        <top style="thin">
          <color indexed="64"/>
        </top>
        <bottom style="double">
          <color indexed="64"/>
        </bottom>
      </border>
    </dxf>
  </rfmt>
  <rfmt sheetId="29"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5" start="0" length="0">
    <dxf>
      <font>
        <b/>
        <sz val="11"/>
        <color theme="1"/>
        <name val="Arial Narrow"/>
        <scheme val="none"/>
      </font>
      <fill>
        <patternFill patternType="solid">
          <bgColor theme="0"/>
        </patternFill>
      </fill>
      <alignment vertical="center" readingOrder="0"/>
    </dxf>
  </rfmt>
  <rcc rId="8023" sId="29" odxf="1" dxf="1">
    <nc r="A6" t="inlineStr">
      <is>
        <r>
          <t>Панель</t>
        </r>
        <r>
          <rPr>
            <b/>
            <sz val="11"/>
            <rFont val="Arial Narrow"/>
            <family val="2"/>
            <charset val="204"/>
          </rPr>
          <t xml:space="preserve"> EDEL </t>
        </r>
        <r>
          <rPr>
            <sz val="11"/>
            <rFont val="Arial Narrow"/>
            <family val="2"/>
            <charset val="204"/>
          </rPr>
          <t>(все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24" sId="29" odxf="1" dxf="1">
    <nc r="B6">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6" start="0" length="0">
    <dxf>
      <font>
        <sz val="11"/>
        <color rgb="FFFF0000"/>
        <name val="Arial Narrow"/>
        <scheme val="none"/>
      </font>
      <numFmt numFmtId="2" formatCode="0.00"/>
      <fill>
        <patternFill patternType="solid">
          <bgColor theme="0"/>
        </patternFill>
      </fill>
      <alignment horizontal="center" vertical="center" readingOrder="0"/>
    </dxf>
  </rfmt>
  <rcc rId="8025" sId="29" odxf="1" dxf="1" numFmtId="4">
    <nc r="D6">
      <v>327.87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26" sId="29" odxf="1" dxf="1" numFmtId="4">
    <nc r="E6">
      <v>362.18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27" sId="29" odxf="1" dxf="1" numFmtId="4">
    <nc r="F6">
      <v>381.24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6" start="0" length="0">
    <dxf>
      <font>
        <sz val="11"/>
        <color rgb="FF0000FF"/>
        <name val="Arial Narrow"/>
        <scheme val="none"/>
      </font>
      <fill>
        <patternFill patternType="solid">
          <bgColor theme="0"/>
        </patternFill>
      </fill>
      <alignment vertical="center" readingOrder="0"/>
    </dxf>
  </rfmt>
  <rcc rId="8028" sId="29" odxf="1" dxf="1">
    <nc r="A7" t="inlineStr">
      <is>
        <r>
          <t xml:space="preserve">Панель </t>
        </r>
        <r>
          <rPr>
            <b/>
            <sz val="11"/>
            <rFont val="Arial Narrow"/>
            <family val="2"/>
            <charset val="204"/>
          </rPr>
          <t>BERG</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29" sId="29" odxf="1" dxf="1">
    <nc r="B7">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7" start="0" length="0">
    <dxf>
      <font>
        <sz val="11"/>
        <color rgb="FFFF0000"/>
        <name val="Arial Narrow"/>
        <scheme val="none"/>
      </font>
      <numFmt numFmtId="2" formatCode="0.00"/>
      <fill>
        <patternFill patternType="solid">
          <bgColor theme="0"/>
        </patternFill>
      </fill>
      <alignment horizontal="center" vertical="center" readingOrder="0"/>
    </dxf>
  </rfmt>
  <rcc rId="8030" sId="29" odxf="1" dxf="1" numFmtId="4">
    <nc r="D7">
      <v>442.33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1" sId="29" odxf="1" dxf="1" numFmtId="4">
    <nc r="E7">
      <v>488.62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2" sId="29" odxf="1" dxf="1" numFmtId="4">
    <nc r="F7">
      <v>514.34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7" start="0" length="0">
    <dxf>
      <font>
        <sz val="11"/>
        <color rgb="FF0000FF"/>
        <name val="Arial Narrow"/>
        <scheme val="none"/>
      </font>
      <fill>
        <patternFill patternType="solid">
          <bgColor theme="0"/>
        </patternFill>
      </fill>
      <alignment vertical="center" readingOrder="0"/>
    </dxf>
  </rfmt>
  <rcc rId="8033" sId="29" odxf="1" dxf="1">
    <nc r="A8" t="inlineStr">
      <is>
        <r>
          <t xml:space="preserve">Панель </t>
        </r>
        <r>
          <rPr>
            <b/>
            <sz val="11"/>
            <rFont val="Arial Narrow"/>
            <family val="2"/>
            <charset val="204"/>
          </rPr>
          <t>BURG</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34" sId="29" odxf="1" dxf="1">
    <nc r="B8">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8" start="0" length="0">
    <dxf>
      <font>
        <sz val="11"/>
        <color rgb="FFFF0000"/>
        <name val="Arial Narrow"/>
        <scheme val="none"/>
      </font>
      <numFmt numFmtId="2" formatCode="0.00"/>
      <fill>
        <patternFill patternType="solid">
          <bgColor theme="0"/>
        </patternFill>
      </fill>
      <alignment horizontal="center" vertical="center" readingOrder="0"/>
    </dxf>
  </rfmt>
  <rcc rId="8035" sId="29" odxf="1" dxf="1" numFmtId="4">
    <nc r="D8">
      <v>466.91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6" sId="29" odxf="1" dxf="1" numFmtId="4">
    <nc r="E8">
      <v>515.78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7" sId="29" odxf="1" dxf="1" numFmtId="4">
    <nc r="F8">
      <v>542.91999999999996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8" start="0" length="0">
    <dxf>
      <font>
        <sz val="11"/>
        <color rgb="FF0000FF"/>
        <name val="Arial Narrow"/>
        <scheme val="none"/>
      </font>
      <fill>
        <patternFill patternType="solid">
          <bgColor theme="0"/>
        </patternFill>
      </fill>
      <alignment vertical="center" readingOrder="0"/>
    </dxf>
  </rfmt>
  <rcc rId="8038" sId="29" odxf="1" dxf="1">
    <nc r="A9" t="inlineStr">
      <is>
        <r>
          <t xml:space="preserve">Панель </t>
        </r>
        <r>
          <rPr>
            <b/>
            <sz val="11"/>
            <rFont val="Arial Narrow"/>
            <family val="2"/>
            <charset val="204"/>
          </rPr>
          <t>STEIN</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39" sId="29" odxf="1" dxf="1">
    <nc r="B9">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9" start="0" length="0">
    <dxf>
      <font>
        <sz val="11"/>
        <color rgb="FFFF0000"/>
        <name val="Arial Narrow"/>
        <scheme val="none"/>
      </font>
      <numFmt numFmtId="2" formatCode="0.00"/>
      <fill>
        <patternFill patternType="solid">
          <bgColor theme="0"/>
        </patternFill>
      </fill>
      <alignment horizontal="center" vertical="center" readingOrder="0"/>
    </dxf>
  </rfmt>
  <rcc rId="8040" sId="29" odxf="1" dxf="1" numFmtId="4">
    <nc r="D9">
      <v>491.48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1" sId="29" odxf="1" dxf="1" numFmtId="4">
    <nc r="E9">
      <v>542.91999999999996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2" sId="29" odxf="1" dxf="1" numFmtId="4">
    <nc r="F9">
      <v>571.49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9" start="0" length="0">
    <dxf>
      <font>
        <sz val="11"/>
        <color rgb="FF0000FF"/>
        <name val="Arial Narrow"/>
        <scheme val="none"/>
      </font>
      <fill>
        <patternFill patternType="solid">
          <bgColor theme="0"/>
        </patternFill>
      </fill>
      <alignment vertical="center" readingOrder="0"/>
    </dxf>
  </rfmt>
  <rcc rId="8043" sId="29" odxf="1" dxf="1">
    <nc r="A10" t="inlineStr">
      <is>
        <r>
          <t xml:space="preserve">Панель </t>
        </r>
        <r>
          <rPr>
            <b/>
            <sz val="11"/>
            <rFont val="Arial Narrow"/>
            <family val="2"/>
            <charset val="204"/>
          </rPr>
          <t>FELS</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44" sId="29"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0" start="0" length="0">
    <dxf>
      <font>
        <sz val="11"/>
        <color rgb="FFFF0000"/>
        <name val="Arial Narrow"/>
        <scheme val="none"/>
      </font>
      <numFmt numFmtId="2" formatCode="0.00"/>
      <fill>
        <patternFill patternType="solid">
          <bgColor theme="0"/>
        </patternFill>
      </fill>
      <alignment horizontal="center" vertical="center" readingOrder="0"/>
    </dxf>
  </rfmt>
  <rcc rId="8045" sId="29" odxf="1" dxf="1" numFmtId="4">
    <nc r="D10">
      <v>491.48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6" sId="29" odxf="1" dxf="1" numFmtId="4">
    <nc r="E10">
      <v>542.91999999999996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7" sId="29" odxf="1" dxf="1" numFmtId="4">
    <nc r="F10">
      <v>571.49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0" start="0" length="0">
    <dxf>
      <font>
        <sz val="11"/>
        <color rgb="FF0000FF"/>
        <name val="Arial Narrow"/>
        <scheme val="none"/>
      </font>
      <fill>
        <patternFill patternType="solid">
          <bgColor theme="0"/>
        </patternFill>
      </fill>
      <alignment vertical="center" readingOrder="0"/>
    </dxf>
  </rfmt>
  <rcc rId="8048" sId="29" odxf="1" dxf="1">
    <nc r="A11" t="inlineStr">
      <is>
        <r>
          <t>Панель</t>
        </r>
        <r>
          <rPr>
            <b/>
            <sz val="11"/>
            <rFont val="Arial Narrow"/>
            <family val="2"/>
            <charset val="204"/>
          </rPr>
          <t xml:space="preserve"> STERN</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49" sId="29"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1" start="0" length="0">
    <dxf>
      <font>
        <sz val="11"/>
        <color rgb="FFFF0000"/>
        <name val="Arial Narrow"/>
        <scheme val="none"/>
      </font>
      <numFmt numFmtId="2" formatCode="0.00"/>
      <fill>
        <patternFill patternType="solid">
          <bgColor theme="0"/>
        </patternFill>
      </fill>
      <alignment horizontal="center" vertical="center" readingOrder="0"/>
    </dxf>
  </rfmt>
  <rcc rId="8050" sId="29" odxf="1" dxf="1" numFmtId="4">
    <nc r="D11">
      <v>465.62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1" sId="29" odxf="1" dxf="1" numFmtId="4">
    <nc r="E11">
      <v>514.35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2" sId="29" odxf="1" dxf="1" numFmtId="4">
    <nc r="F11">
      <v>541.41999999999996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1" start="0" length="0">
    <dxf>
      <font>
        <sz val="11"/>
        <color rgb="FF0000FF"/>
        <name val="Arial Narrow"/>
        <scheme val="none"/>
      </font>
      <fill>
        <patternFill patternType="solid">
          <bgColor theme="0"/>
        </patternFill>
      </fill>
      <alignment vertical="center" readingOrder="0"/>
    </dxf>
  </rfmt>
  <rfmt sheetId="29" sqref="A12" start="0" length="0">
    <dxf>
      <font>
        <sz val="11"/>
        <color theme="1"/>
        <name val="Arial Narrow"/>
        <scheme val="none"/>
      </font>
      <fill>
        <patternFill patternType="solid">
          <bgColor theme="0"/>
        </patternFill>
      </fill>
      <alignment vertical="center" readingOrder="0"/>
    </dxf>
  </rfmt>
  <rfmt sheetId="29" sqref="B12" start="0" length="0">
    <dxf>
      <font>
        <sz val="11"/>
        <color theme="1"/>
        <name val="Arial Narrow"/>
        <scheme val="none"/>
      </font>
      <fill>
        <patternFill patternType="solid">
          <bgColor theme="0"/>
        </patternFill>
      </fill>
      <alignment vertical="center" readingOrder="0"/>
    </dxf>
  </rfmt>
  <rfmt sheetId="29" sqref="C12" start="0" length="0">
    <dxf>
      <font>
        <sz val="11"/>
        <color auto="1"/>
        <name val="Arial Narrow"/>
        <scheme val="none"/>
      </font>
      <fill>
        <patternFill patternType="solid">
          <bgColor theme="0"/>
        </patternFill>
      </fill>
      <alignment vertical="center" readingOrder="0"/>
    </dxf>
  </rfmt>
  <rfmt sheetId="29" sqref="D12" start="0" length="0">
    <dxf>
      <font>
        <sz val="11"/>
        <color auto="1"/>
        <name val="Arial Narrow"/>
        <scheme val="none"/>
      </font>
      <fill>
        <patternFill patternType="solid">
          <bgColor theme="0"/>
        </patternFill>
      </fill>
      <alignment vertical="center" readingOrder="0"/>
    </dxf>
  </rfmt>
  <rfmt sheetId="29" sqref="E12" start="0" length="0">
    <dxf>
      <font>
        <sz val="11"/>
        <color auto="1"/>
        <name val="Arial Narrow"/>
        <scheme val="none"/>
      </font>
      <fill>
        <patternFill patternType="solid">
          <bgColor theme="0"/>
        </patternFill>
      </fill>
      <alignment vertical="center" readingOrder="0"/>
    </dxf>
  </rfmt>
  <rfmt sheetId="29" sqref="F12" start="0" length="0">
    <dxf>
      <font>
        <sz val="11"/>
        <color auto="1"/>
        <name val="Arial Narrow"/>
        <scheme val="none"/>
      </font>
      <fill>
        <patternFill patternType="solid">
          <bgColor theme="0"/>
        </patternFill>
      </fill>
      <alignment vertical="center" readingOrder="0"/>
    </dxf>
  </rfmt>
  <rfmt sheetId="29" sqref="G12" start="0" length="0">
    <dxf>
      <font>
        <sz val="11"/>
        <color theme="1"/>
        <name val="Arial Narrow"/>
        <scheme val="none"/>
      </font>
      <fill>
        <patternFill patternType="solid">
          <bgColor theme="0"/>
        </patternFill>
      </fill>
      <alignment vertical="center" readingOrder="0"/>
    </dxf>
  </rfmt>
  <rcc rId="8053" sId="29" odxf="1" dxf="1">
    <nc r="A13" t="inlineStr">
      <is>
        <t>Углы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054" sId="29" odxf="1" dxf="1">
    <nc r="B13"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13" start="0" length="0">
    <dxf>
      <font>
        <b/>
        <sz val="11"/>
        <color auto="1"/>
        <name val="Arial Narrow"/>
        <scheme val="none"/>
      </font>
      <numFmt numFmtId="2" formatCode="0.00"/>
      <fill>
        <patternFill patternType="solid">
          <bgColor theme="0"/>
        </patternFill>
      </fill>
      <alignment horizontal="center" vertical="center" readingOrder="0"/>
    </dxf>
  </rfmt>
  <rfmt sheetId="29" sqref="D13"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13" start="0" length="0">
    <dxf>
      <fill>
        <patternFill patternType="solid">
          <bgColor rgb="FFFFFF00"/>
        </patternFill>
      </fill>
      <alignment vertical="center" wrapText="1" readingOrder="0"/>
      <border outline="0">
        <top style="thin">
          <color indexed="64"/>
        </top>
        <bottom style="double">
          <color indexed="64"/>
        </bottom>
      </border>
    </dxf>
  </rfmt>
  <rfmt sheetId="29" sqref="F13"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13" start="0" length="0">
    <dxf>
      <font>
        <b/>
        <sz val="11"/>
        <color theme="1"/>
        <name val="Arial Narrow"/>
        <scheme val="none"/>
      </font>
      <fill>
        <patternFill patternType="solid">
          <bgColor theme="0"/>
        </patternFill>
      </fill>
      <alignment vertical="center" readingOrder="0"/>
    </dxf>
  </rfmt>
  <rcc rId="8055" sId="29" odxf="1" dxf="1">
    <nc r="A14" t="inlineStr">
      <is>
        <r>
          <t xml:space="preserve">Угол </t>
        </r>
        <r>
          <rPr>
            <b/>
            <sz val="11"/>
            <rFont val="Arial Narrow"/>
            <family val="2"/>
            <charset val="204"/>
          </rPr>
          <t xml:space="preserve"> EDEL</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56" sId="29" odxf="1" dxf="1">
    <nc r="B14">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4" start="0" length="0">
    <dxf>
      <font>
        <sz val="11"/>
        <color rgb="FFFF0000"/>
        <name val="Arial Narrow"/>
        <scheme val="none"/>
      </font>
      <numFmt numFmtId="2" formatCode="0.00"/>
      <fill>
        <patternFill patternType="solid">
          <bgColor theme="0"/>
        </patternFill>
      </fill>
      <alignment horizontal="center" vertical="center" readingOrder="0"/>
    </dxf>
  </rfmt>
  <rcc rId="8057" sId="29" odxf="1" dxf="1" numFmtId="4">
    <nc r="D14">
      <v>385.25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8" sId="29" odxf="1" dxf="1" numFmtId="4">
    <nc r="E14">
      <v>430.57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9" sId="29" odxf="1" dxf="1" numFmtId="4">
    <nc r="F14">
      <v>453.24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4" start="0" length="0">
    <dxf>
      <font>
        <sz val="11"/>
        <color rgb="FF0000FF"/>
        <name val="Arial Narrow"/>
        <scheme val="none"/>
      </font>
      <fill>
        <patternFill patternType="solid">
          <bgColor theme="0"/>
        </patternFill>
      </fill>
      <alignment vertical="center" readingOrder="0"/>
    </dxf>
  </rfmt>
  <rcc rId="8060" sId="29" odxf="1" dxf="1">
    <nc r="A15" t="inlineStr">
      <is>
        <r>
          <t xml:space="preserve">Угол </t>
        </r>
        <r>
          <rPr>
            <b/>
            <sz val="11"/>
            <rFont val="Arial Narrow"/>
            <family val="2"/>
            <charset val="204"/>
          </rPr>
          <t xml:space="preserve">BERG </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61" sId="29" odxf="1" dxf="1">
    <nc r="B15">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5" start="0" length="0">
    <dxf>
      <font>
        <sz val="11"/>
        <color rgb="FFFF0000"/>
        <name val="Arial Narrow"/>
        <scheme val="none"/>
      </font>
      <numFmt numFmtId="2" formatCode="0.00"/>
      <fill>
        <patternFill patternType="solid">
          <bgColor theme="0"/>
        </patternFill>
      </fill>
      <alignment horizontal="center" vertical="center" readingOrder="0"/>
    </dxf>
  </rfmt>
  <rcc rId="8062" sId="29" odxf="1" dxf="1" numFmtId="4">
    <nc r="D15">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3" sId="29" odxf="1" dxf="1" numFmtId="4">
    <nc r="E15">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4" sId="29" odxf="1" dxf="1" numFmtId="4">
    <nc r="F15">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5" start="0" length="0">
    <dxf>
      <font>
        <sz val="11"/>
        <color rgb="FF0000FF"/>
        <name val="Arial Narrow"/>
        <scheme val="none"/>
      </font>
      <fill>
        <patternFill patternType="solid">
          <bgColor theme="0"/>
        </patternFill>
      </fill>
      <alignment vertical="center" readingOrder="0"/>
    </dxf>
  </rfmt>
  <rcc rId="8065" sId="29" odxf="1" dxf="1">
    <nc r="A16" t="inlineStr">
      <is>
        <r>
          <t xml:space="preserve">Угол </t>
        </r>
        <r>
          <rPr>
            <b/>
            <sz val="11"/>
            <rFont val="Arial Narrow"/>
            <family val="2"/>
            <charset val="204"/>
          </rPr>
          <t>BURG</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66" sId="29" odxf="1" dxf="1">
    <nc r="B16">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6" start="0" length="0">
    <dxf>
      <font>
        <sz val="11"/>
        <color rgb="FFFF0000"/>
        <name val="Arial Narrow"/>
        <scheme val="none"/>
      </font>
      <numFmt numFmtId="2" formatCode="0.00"/>
      <fill>
        <patternFill patternType="solid">
          <bgColor theme="0"/>
        </patternFill>
      </fill>
      <alignment horizontal="center" vertical="center" readingOrder="0"/>
    </dxf>
  </rfmt>
  <rcc rId="8067" sId="29" odxf="1" dxf="1" numFmtId="4">
    <nc r="D16">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8" sId="29" odxf="1" dxf="1" numFmtId="4">
    <nc r="E16">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9" sId="29" odxf="1" dxf="1" numFmtId="4">
    <nc r="F16">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6" start="0" length="0">
    <dxf>
      <font>
        <sz val="11"/>
        <color rgb="FF0000FF"/>
        <name val="Arial Narrow"/>
        <scheme val="none"/>
      </font>
      <fill>
        <patternFill patternType="solid">
          <bgColor theme="0"/>
        </patternFill>
      </fill>
      <alignment vertical="center" readingOrder="0"/>
    </dxf>
  </rfmt>
  <rcc rId="8070" sId="29" odxf="1" dxf="1">
    <nc r="A17" t="inlineStr">
      <is>
        <r>
          <t xml:space="preserve">Угол </t>
        </r>
        <r>
          <rPr>
            <b/>
            <sz val="11"/>
            <rFont val="Arial Narrow"/>
            <family val="2"/>
            <charset val="204"/>
          </rPr>
          <t>STEIN</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71" sId="29" odxf="1" dxf="1">
    <nc r="B17">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7" start="0" length="0">
    <dxf>
      <font>
        <sz val="11"/>
        <color rgb="FFFF0000"/>
        <name val="Arial Narrow"/>
        <scheme val="none"/>
      </font>
      <numFmt numFmtId="2" formatCode="0.00"/>
      <fill>
        <patternFill patternType="solid">
          <bgColor theme="0"/>
        </patternFill>
      </fill>
      <alignment horizontal="center" vertical="center" readingOrder="0"/>
    </dxf>
  </rfmt>
  <rcc rId="8072" sId="29" odxf="1" dxf="1" numFmtId="4">
    <nc r="D17">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3" sId="29" odxf="1" dxf="1" numFmtId="4">
    <nc r="E17">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4" sId="29" odxf="1" dxf="1" numFmtId="4">
    <nc r="F17">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7" start="0" length="0">
    <dxf>
      <font>
        <sz val="11"/>
        <color rgb="FF0000FF"/>
        <name val="Arial Narrow"/>
        <scheme val="none"/>
      </font>
      <fill>
        <patternFill patternType="solid">
          <bgColor theme="0"/>
        </patternFill>
      </fill>
      <alignment vertical="center" readingOrder="0"/>
    </dxf>
  </rfmt>
  <rcc rId="8075" sId="29" odxf="1" dxf="1">
    <nc r="A18" t="inlineStr">
      <is>
        <r>
          <t>Угол</t>
        </r>
        <r>
          <rPr>
            <b/>
            <sz val="11"/>
            <rFont val="Arial Narrow"/>
            <family val="2"/>
            <charset val="204"/>
          </rPr>
          <t xml:space="preserve"> FELS</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76" sId="29" odxf="1" dxf="1">
    <nc r="B18">
      <v>7</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8" start="0" length="0">
    <dxf>
      <font>
        <sz val="11"/>
        <color rgb="FFFF0000"/>
        <name val="Arial Narrow"/>
        <scheme val="none"/>
      </font>
      <numFmt numFmtId="2" formatCode="0.00"/>
      <fill>
        <patternFill patternType="solid">
          <bgColor theme="0"/>
        </patternFill>
      </fill>
      <alignment horizontal="center" vertical="center" readingOrder="0"/>
    </dxf>
  </rfmt>
  <rcc rId="8077" sId="29" odxf="1" dxf="1" numFmtId="4">
    <nc r="D18">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8" sId="29" odxf="1" dxf="1" numFmtId="4">
    <nc r="E18">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9" sId="29" odxf="1" dxf="1" numFmtId="4">
    <nc r="F18">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8" start="0" length="0">
    <dxf>
      <font>
        <sz val="11"/>
        <color rgb="FF0000FF"/>
        <name val="Arial Narrow"/>
        <scheme val="none"/>
      </font>
      <fill>
        <patternFill patternType="solid">
          <bgColor theme="0"/>
        </patternFill>
      </fill>
      <alignment vertical="center" readingOrder="0"/>
    </dxf>
  </rfmt>
  <rcc rId="8080" sId="29" odxf="1" dxf="1">
    <nc r="A19" t="inlineStr">
      <is>
        <r>
          <t>Угол</t>
        </r>
        <r>
          <rPr>
            <b/>
            <sz val="11"/>
            <rFont val="Arial Narrow"/>
            <family val="2"/>
            <charset val="204"/>
          </rPr>
          <t xml:space="preserve"> STERN</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81" sId="29" odxf="1" dxf="1">
    <nc r="B19">
      <v>8</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9" start="0" length="0">
    <dxf>
      <font>
        <sz val="11"/>
        <color rgb="FFFF0000"/>
        <name val="Arial Narrow"/>
        <scheme val="none"/>
      </font>
      <numFmt numFmtId="2" formatCode="0.00"/>
      <fill>
        <patternFill patternType="solid">
          <bgColor theme="0"/>
        </patternFill>
      </fill>
      <alignment horizontal="center" vertical="center" readingOrder="0"/>
    </dxf>
  </rfmt>
  <rcc rId="8082" sId="29" odxf="1" dxf="1" numFmtId="4">
    <nc r="D19">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83" sId="29" odxf="1" dxf="1" numFmtId="4">
    <nc r="E19">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84" sId="29" odxf="1" dxf="1" numFmtId="4">
    <nc r="F19">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9" start="0" length="0">
    <dxf>
      <font>
        <sz val="11"/>
        <color rgb="FF0000FF"/>
        <name val="Arial Narrow"/>
        <scheme val="none"/>
      </font>
      <fill>
        <patternFill patternType="solid">
          <bgColor theme="0"/>
        </patternFill>
      </fill>
      <alignment vertical="center" readingOrder="0"/>
    </dxf>
  </rfmt>
  <rfmt sheetId="29" sqref="A20" start="0" length="0">
    <dxf>
      <font>
        <sz val="11"/>
        <color theme="1"/>
        <name val="Arial Narrow"/>
        <scheme val="none"/>
      </font>
      <fill>
        <patternFill patternType="solid">
          <bgColor theme="0"/>
        </patternFill>
      </fill>
      <alignment vertical="center" readingOrder="0"/>
    </dxf>
  </rfmt>
  <rfmt sheetId="29" sqref="B20" start="0" length="0">
    <dxf>
      <font>
        <sz val="11"/>
        <color theme="1"/>
        <name val="Arial Narrow"/>
        <scheme val="none"/>
      </font>
      <fill>
        <patternFill patternType="solid">
          <bgColor theme="0"/>
        </patternFill>
      </fill>
      <alignment vertical="center" readingOrder="0"/>
    </dxf>
  </rfmt>
  <rfmt sheetId="29" sqref="C20" start="0" length="0">
    <dxf>
      <font>
        <sz val="11"/>
        <color auto="1"/>
        <name val="Arial Narrow"/>
        <scheme val="none"/>
      </font>
      <fill>
        <patternFill patternType="solid">
          <bgColor theme="0"/>
        </patternFill>
      </fill>
      <alignment vertical="center" readingOrder="0"/>
    </dxf>
  </rfmt>
  <rfmt sheetId="29" sqref="D20" start="0" length="0">
    <dxf>
      <font>
        <sz val="11"/>
        <color auto="1"/>
        <name val="Arial Narrow"/>
        <scheme val="none"/>
      </font>
      <fill>
        <patternFill patternType="solid">
          <bgColor theme="0"/>
        </patternFill>
      </fill>
      <alignment vertical="center" readingOrder="0"/>
    </dxf>
  </rfmt>
  <rfmt sheetId="29" sqref="E20" start="0" length="0">
    <dxf>
      <font>
        <sz val="11"/>
        <color auto="1"/>
        <name val="Arial Narrow"/>
        <scheme val="none"/>
      </font>
      <fill>
        <patternFill patternType="solid">
          <bgColor theme="0"/>
        </patternFill>
      </fill>
      <alignment vertical="center" readingOrder="0"/>
    </dxf>
  </rfmt>
  <rfmt sheetId="29" sqref="F20" start="0" length="0">
    <dxf>
      <font>
        <sz val="11"/>
        <color auto="1"/>
        <name val="Arial Narrow"/>
        <scheme val="none"/>
      </font>
      <fill>
        <patternFill patternType="solid">
          <bgColor theme="0"/>
        </patternFill>
      </fill>
      <alignment vertical="center" readingOrder="0"/>
    </dxf>
  </rfmt>
  <rfmt sheetId="29" sqref="G20" start="0" length="0">
    <dxf>
      <font>
        <sz val="11"/>
        <color theme="1"/>
        <name val="Arial Narrow"/>
        <scheme val="none"/>
      </font>
      <fill>
        <patternFill patternType="solid">
          <bgColor theme="0"/>
        </patternFill>
      </fill>
      <alignment vertical="center" readingOrder="0"/>
    </dxf>
  </rfmt>
  <rcc rId="8085" sId="29" odxf="1" dxf="1">
    <nc r="A21" t="inlineStr">
      <is>
        <t>Аксессуары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086" sId="29" odxf="1" dxf="1">
    <nc r="B21"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21" start="0" length="0">
    <dxf>
      <font>
        <b/>
        <sz val="11"/>
        <color auto="1"/>
        <name val="Arial Narrow"/>
        <scheme val="none"/>
      </font>
      <numFmt numFmtId="2" formatCode="0.00"/>
      <fill>
        <patternFill patternType="solid">
          <bgColor theme="0"/>
        </patternFill>
      </fill>
      <alignment horizontal="center" vertical="center" readingOrder="0"/>
    </dxf>
  </rfmt>
  <rfmt sheetId="29" sqref="D21"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21" start="0" length="0">
    <dxf>
      <fill>
        <patternFill patternType="solid">
          <bgColor rgb="FFFFFF00"/>
        </patternFill>
      </fill>
      <alignment vertical="center" wrapText="1" readingOrder="0"/>
      <border outline="0">
        <top style="thin">
          <color indexed="64"/>
        </top>
        <bottom style="double">
          <color indexed="64"/>
        </bottom>
      </border>
    </dxf>
  </rfmt>
  <rfmt sheetId="29" sqref="F21"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21" start="0" length="0">
    <dxf>
      <font>
        <b/>
        <sz val="11"/>
        <color theme="1"/>
        <name val="Arial Narrow"/>
        <scheme val="none"/>
      </font>
      <fill>
        <patternFill patternType="solid">
          <bgColor theme="0"/>
        </patternFill>
      </fill>
      <alignment vertical="center" readingOrder="0"/>
    </dxf>
  </rfmt>
  <rcc rId="8087" sId="29" odxf="1" dxf="1">
    <nc r="A22" t="inlineStr">
      <is>
        <r>
          <t xml:space="preserve">Фасадный внутренний угол </t>
        </r>
        <r>
          <rPr>
            <b/>
            <sz val="11"/>
            <rFont val="Arial Narrow"/>
            <family val="2"/>
            <charset val="204"/>
          </rPr>
          <t>(Агатовый, Слоновая кость, Палевый, Бежевый, Каштановый)</t>
        </r>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8088" sId="29" odxf="1" dxf="1">
    <nc r="B22">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2" start="0" length="0">
    <dxf>
      <font>
        <sz val="11"/>
        <color auto="1"/>
        <name val="Arial Narrow"/>
        <scheme val="none"/>
      </font>
      <numFmt numFmtId="2" formatCode="0.00"/>
      <fill>
        <patternFill patternType="solid">
          <bgColor theme="0"/>
        </patternFill>
      </fill>
      <alignment horizontal="center" vertical="center" readingOrder="0"/>
    </dxf>
  </rfmt>
  <rcc rId="8089" sId="29" odxf="1" dxf="1" numFmtId="4">
    <nc r="D22">
      <v>218.38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0" sId="29" odxf="1" dxf="1" numFmtId="4">
    <nc r="E22">
      <v>244.07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1" sId="29" odxf="1" dxf="1" numFmtId="4">
    <nc r="F22">
      <v>256.91000000000003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2" start="0" length="0">
    <dxf>
      <font>
        <sz val="11"/>
        <color rgb="FF0000FF"/>
        <name val="Arial Narrow"/>
        <scheme val="none"/>
      </font>
      <fill>
        <patternFill patternType="solid">
          <bgColor theme="0"/>
        </patternFill>
      </fill>
      <alignment vertical="center" readingOrder="0"/>
    </dxf>
  </rfmt>
  <rcc rId="8092" sId="29" odxf="1" dxf="1">
    <nc r="A23" t="inlineStr">
      <is>
        <r>
          <t xml:space="preserve">Фасадный внутренний угол </t>
        </r>
        <r>
          <rPr>
            <b/>
            <sz val="11"/>
            <rFont val="Arial Narrow"/>
            <family val="2"/>
            <charset val="204"/>
          </rPr>
          <t>Дымчатый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093" sId="29" odxf="1" dxf="1">
    <nc r="B2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3" start="0" length="0">
    <dxf>
      <font>
        <sz val="11"/>
        <color auto="1"/>
        <name val="Arial Narrow"/>
        <scheme val="none"/>
      </font>
      <numFmt numFmtId="2" formatCode="0.00"/>
      <fill>
        <patternFill patternType="solid">
          <bgColor theme="0"/>
        </patternFill>
      </fill>
      <alignment horizontal="center" vertical="center" readingOrder="0"/>
    </dxf>
  </rfmt>
  <rcc rId="8094" sId="29" odxf="1" dxf="1" numFmtId="4">
    <nc r="D23">
      <v>297.77999999999997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5" sId="29" odxf="1" dxf="1" numFmtId="4">
    <nc r="E23">
      <v>332.81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6" sId="29" odxf="1" dxf="1" numFmtId="4">
    <nc r="F23">
      <v>350.32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3" start="0" length="0">
    <dxf>
      <font>
        <sz val="11"/>
        <color rgb="FF0000FF"/>
        <name val="Arial Narrow"/>
        <scheme val="none"/>
      </font>
      <fill>
        <patternFill patternType="solid">
          <bgColor theme="0"/>
        </patternFill>
      </fill>
      <alignment vertical="center" readingOrder="0"/>
    </dxf>
  </rfmt>
  <rcc rId="8097" sId="29" odxf="1" dxf="1">
    <nc r="A24" t="inlineStr">
      <is>
        <r>
          <t xml:space="preserve">Стартовый угол </t>
        </r>
        <r>
          <rPr>
            <b/>
            <sz val="11"/>
            <rFont val="Arial Narrow"/>
            <family val="2"/>
            <charset val="204"/>
          </rPr>
          <t>BERG, EDEL</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098" sId="29" odxf="1" dxf="1">
    <nc r="B24">
      <v>80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4" start="0" length="0">
    <dxf>
      <font>
        <sz val="11"/>
        <color auto="1"/>
        <name val="Arial Narrow"/>
        <scheme val="none"/>
      </font>
      <numFmt numFmtId="2" formatCode="0.00"/>
      <fill>
        <patternFill patternType="solid">
          <bgColor theme="0"/>
        </patternFill>
      </fill>
      <alignment horizontal="center" vertical="center" readingOrder="0"/>
    </dxf>
  </rfmt>
  <rcc rId="8099" sId="29" odxf="1" dxf="1" numFmtId="4">
    <nc r="D24">
      <v>62.4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0" sId="29" odxf="1" dxf="1" numFmtId="4">
    <nc r="E24">
      <v>69.739999999999995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1" sId="29" odxf="1" dxf="1" numFmtId="4">
    <nc r="F24">
      <v>73.41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4" start="0" length="0">
    <dxf>
      <font>
        <sz val="11"/>
        <color rgb="FF0000FF"/>
        <name val="Arial Narrow"/>
        <scheme val="none"/>
      </font>
      <fill>
        <patternFill patternType="solid">
          <bgColor theme="0"/>
        </patternFill>
      </fill>
      <alignment vertical="center" readingOrder="0"/>
    </dxf>
  </rfmt>
  <rcc rId="8102" sId="29" odxf="1" dxf="1">
    <nc r="A25" t="inlineStr">
      <is>
        <r>
          <t xml:space="preserve">Стартовый угол </t>
        </r>
        <r>
          <rPr>
            <b/>
            <sz val="11"/>
            <rFont val="Arial Narrow"/>
            <family val="2"/>
            <charset val="204"/>
          </rPr>
          <t>BURG, STEIN, STERN, FELS</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03" sId="29" odxf="1" dxf="1">
    <nc r="B25">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5" start="0" length="0">
    <dxf>
      <font>
        <sz val="11"/>
        <color auto="1"/>
        <name val="Arial Narrow"/>
        <scheme val="none"/>
      </font>
      <numFmt numFmtId="2" formatCode="0.00"/>
      <fill>
        <patternFill patternType="solid">
          <bgColor theme="0"/>
        </patternFill>
      </fill>
      <alignment horizontal="center" vertical="center" readingOrder="0"/>
    </dxf>
  </rfmt>
  <rcc rId="8104" sId="29" odxf="1" dxf="1" numFmtId="4">
    <nc r="D25">
      <v>62.4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5" sId="29" odxf="1" dxf="1" numFmtId="4">
    <nc r="E25">
      <v>69.739999999999995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6" sId="29" odxf="1" dxf="1" numFmtId="4">
    <nc r="F25">
      <v>73.41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5" start="0" length="0">
    <dxf>
      <font>
        <sz val="11"/>
        <color rgb="FF0000FF"/>
        <name val="Arial Narrow"/>
        <scheme val="none"/>
      </font>
      <fill>
        <patternFill patternType="solid">
          <bgColor theme="0"/>
        </patternFill>
      </fill>
      <alignment vertical="center" readingOrder="0"/>
    </dxf>
  </rfmt>
  <rcc rId="8107" sId="29" odxf="1" dxf="1">
    <nc r="A26" t="inlineStr">
      <is>
        <t>Фасадный J-профиль 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08" sId="29" odxf="1" dxf="1">
    <nc r="B2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6" start="0" length="0">
    <dxf>
      <font>
        <sz val="11"/>
        <color auto="1"/>
        <name val="Arial Narrow"/>
        <scheme val="none"/>
      </font>
      <numFmt numFmtId="2" formatCode="0.00"/>
      <fill>
        <patternFill patternType="solid">
          <bgColor theme="0"/>
        </patternFill>
      </fill>
      <alignment horizontal="center" vertical="center" readingOrder="0"/>
    </dxf>
  </rfmt>
  <rcc rId="8109" sId="29" odxf="1" dxf="1" numFmtId="4">
    <nc r="D26">
      <v>249.56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0" sId="29" odxf="1" dxf="1" numFmtId="4">
    <nc r="E26">
      <v>278.92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1" sId="29" odxf="1" dxf="1" numFmtId="4">
    <nc r="F26">
      <v>293.60000000000002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6" start="0" length="0">
    <dxf>
      <font>
        <sz val="11"/>
        <color rgb="FF0000FF"/>
        <name val="Arial Narrow"/>
        <scheme val="none"/>
      </font>
      <fill>
        <patternFill patternType="solid">
          <bgColor theme="0"/>
        </patternFill>
      </fill>
      <alignment vertical="center" readingOrder="0"/>
    </dxf>
  </rfmt>
  <rcc rId="8112" sId="29" odxf="1" dxf="1">
    <nc r="A27" t="inlineStr">
      <is>
        <t>Фасадный J-профиль 30мм, Табачный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13" sId="29" odxf="1" dxf="1">
    <nc r="B27">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7" start="0" length="0">
    <dxf>
      <font>
        <sz val="11"/>
        <color auto="1"/>
        <name val="Arial Narrow"/>
        <scheme val="none"/>
      </font>
      <numFmt numFmtId="2" formatCode="0.00"/>
      <fill>
        <patternFill patternType="solid">
          <bgColor theme="0"/>
        </patternFill>
      </fill>
      <alignment horizontal="center" vertical="center" readingOrder="0"/>
    </dxf>
  </rfmt>
  <rcc rId="8114" sId="29" odxf="1" dxf="1" numFmtId="4">
    <nc r="D27">
      <v>282.64999999999998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5" sId="29" odxf="1" dxf="1" numFmtId="4">
    <nc r="E27">
      <v>315.89999999999998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6" sId="29" odxf="1" dxf="1" numFmtId="4">
    <nc r="F27">
      <v>332.53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7" start="0" length="0">
    <dxf>
      <font>
        <sz val="11"/>
        <color rgb="FF0000FF"/>
        <name val="Arial Narrow"/>
        <scheme val="none"/>
      </font>
      <fill>
        <patternFill patternType="solid">
          <bgColor theme="0"/>
        </patternFill>
      </fill>
      <alignment vertical="center" readingOrder="0"/>
    </dxf>
  </rfmt>
  <rcc rId="8117" sId="29" odxf="1" dxf="1">
    <nc r="A28" t="inlineStr">
      <is>
        <t>Фасадный L-профиль 35мм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18" sId="29" odxf="1" dxf="1">
    <nc r="B28">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8" start="0" length="0">
    <dxf>
      <font>
        <sz val="11"/>
        <color auto="1"/>
        <name val="Arial Narrow"/>
        <scheme val="none"/>
      </font>
      <numFmt numFmtId="2" formatCode="0.00"/>
      <fill>
        <patternFill patternType="solid">
          <bgColor theme="0"/>
        </patternFill>
      </fill>
      <alignment horizontal="center" vertical="center" readingOrder="0"/>
    </dxf>
  </rfmt>
  <rcc rId="8119" sId="29" odxf="1" dxf="1" numFmtId="4">
    <nc r="D28">
      <v>211.75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0" sId="29" odxf="1" dxf="1" numFmtId="4">
    <nc r="E28">
      <v>236.66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1" sId="29" odxf="1" dxf="1" numFmtId="4">
    <nc r="F28">
      <v>249.12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8" start="0" length="0">
    <dxf>
      <font>
        <sz val="11"/>
        <color rgb="FF0000FF"/>
        <name val="Arial Narrow"/>
        <scheme val="none"/>
      </font>
      <fill>
        <patternFill patternType="solid">
          <bgColor theme="0"/>
        </patternFill>
      </fill>
      <alignment vertical="center" readingOrder="0"/>
    </dxf>
  </rfmt>
  <rcc rId="8122" sId="29" odxf="1" dxf="1">
    <nc r="A29" t="inlineStr">
      <is>
        <t>Фасадный L-профиль 35мм Дымчатый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23" sId="29" odxf="1" dxf="1">
    <nc r="B29">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9" start="0" length="0">
    <dxf>
      <font>
        <sz val="11"/>
        <color auto="1"/>
        <name val="Arial Narrow"/>
        <scheme val="none"/>
      </font>
      <numFmt numFmtId="2" formatCode="0.00"/>
      <fill>
        <patternFill patternType="solid">
          <bgColor theme="0"/>
        </patternFill>
      </fill>
      <alignment horizontal="center" vertical="center" readingOrder="0"/>
    </dxf>
  </rfmt>
  <rcc rId="8124" sId="29" odxf="1" dxf="1" numFmtId="4">
    <nc r="D29">
      <v>398.08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5" sId="29" odxf="1" dxf="1" numFmtId="4">
    <nc r="E29">
      <v>444.91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6" sId="29" odxf="1" dxf="1" numFmtId="4">
    <nc r="F29">
      <v>468.32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9" start="0" length="0">
    <dxf>
      <font>
        <sz val="11"/>
        <color rgb="FF0000FF"/>
        <name val="Arial Narrow"/>
        <scheme val="none"/>
      </font>
      <fill>
        <patternFill patternType="solid">
          <bgColor theme="0"/>
        </patternFill>
      </fill>
      <alignment vertical="center" readingOrder="0"/>
    </dxf>
  </rfmt>
  <rcc rId="8127" sId="29" odxf="1" dxf="1">
    <nc r="A30" t="inlineStr">
      <is>
        <t>Фасадный околооконный профиль 230мм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28" sId="29" odxf="1" dxf="1">
    <nc r="B30">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0" start="0" length="0">
    <dxf>
      <font>
        <sz val="11"/>
        <color auto="1"/>
        <name val="Arial Narrow"/>
        <scheme val="none"/>
      </font>
      <numFmt numFmtId="2" formatCode="0.00"/>
      <fill>
        <patternFill patternType="solid">
          <bgColor theme="0"/>
        </patternFill>
      </fill>
      <alignment horizontal="center" vertical="center" readingOrder="0"/>
    </dxf>
  </rfmt>
  <rcc rId="8129" sId="29" odxf="1" dxf="1" numFmtId="4">
    <nc r="D30">
      <v>575.69000000000005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0" sId="29" odxf="1" dxf="1" numFmtId="4">
    <nc r="E30">
      <v>643.41999999999996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1" sId="29" odxf="1" dxf="1" numFmtId="4">
    <nc r="F30">
      <v>677.28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0" start="0" length="0">
    <dxf>
      <font>
        <sz val="11"/>
        <color rgb="FF0000FF"/>
        <name val="Arial Narrow"/>
        <scheme val="none"/>
      </font>
      <fill>
        <patternFill patternType="solid">
          <bgColor theme="0"/>
        </patternFill>
      </fill>
      <alignment vertical="center" readingOrder="0"/>
    </dxf>
  </rfmt>
  <rcc rId="8132" sId="29" odxf="1" dxf="1">
    <nc r="A31" t="inlineStr">
      <is>
        <t>Бордюр универсальный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33" sId="29" odxf="1" dxf="1">
    <nc r="B31">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1" start="0" length="0">
    <dxf>
      <font>
        <sz val="11"/>
        <color auto="1"/>
        <name val="Arial Narrow"/>
        <scheme val="none"/>
      </font>
      <numFmt numFmtId="2" formatCode="0.00"/>
      <fill>
        <patternFill patternType="solid">
          <bgColor theme="0"/>
        </patternFill>
      </fill>
      <alignment horizontal="center" vertical="center" readingOrder="0"/>
    </dxf>
  </rfmt>
  <rcc rId="8134" sId="29" odxf="1" dxf="1" numFmtId="4">
    <nc r="D31">
      <v>222.15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5" sId="29" odxf="1" dxf="1" numFmtId="4">
    <nc r="E31">
      <v>248.29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6" sId="29" odxf="1" dxf="1" numFmtId="4">
    <nc r="F31">
      <v>261.35000000000002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1" start="0" length="0">
    <dxf>
      <font>
        <sz val="11"/>
        <color rgb="FF0000FF"/>
        <name val="Arial Narrow"/>
        <scheme val="none"/>
      </font>
      <fill>
        <patternFill patternType="solid">
          <bgColor theme="0"/>
        </patternFill>
      </fill>
      <alignment vertical="center" readingOrder="0"/>
    </dxf>
  </rfmt>
  <rcc rId="8137" sId="29" odxf="1" dxf="1">
    <nc r="A32" t="inlineStr">
      <is>
        <t>Угловая накладка для бордюра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38" sId="29" odxf="1" dxf="1">
    <nc r="B32">
      <v>96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2" start="0" length="0">
    <dxf>
      <font>
        <sz val="11"/>
        <color auto="1"/>
        <name val="Arial Narrow"/>
        <scheme val="none"/>
      </font>
      <numFmt numFmtId="2" formatCode="0.00"/>
      <fill>
        <patternFill patternType="solid">
          <bgColor theme="0"/>
        </patternFill>
      </fill>
      <alignment horizontal="center" vertical="center" readingOrder="0"/>
    </dxf>
  </rfmt>
  <rcc rId="8139" sId="29" odxf="1" dxf="1" numFmtId="4">
    <nc r="D32">
      <v>15.6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0" sId="29" odxf="1" dxf="1" numFmtId="4">
    <nc r="E32">
      <v>17.440000000000001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1" sId="29" odxf="1" dxf="1" numFmtId="4">
    <nc r="F32">
      <v>18.350000000000001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2" start="0" length="0">
    <dxf>
      <font>
        <sz val="11"/>
        <color rgb="FF0000FF"/>
        <name val="Arial Narrow"/>
        <scheme val="none"/>
      </font>
      <fill>
        <patternFill patternType="solid">
          <bgColor theme="0"/>
        </patternFill>
      </fill>
      <alignment vertical="center" readingOrder="0"/>
    </dxf>
  </rfmt>
  <rcc rId="8142" sId="29" odxf="1" dxf="1">
    <nc r="A33" t="inlineStr">
      <is>
        <t>Базовая планка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43" sId="29" odxf="1" dxf="1">
    <nc r="B3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3" start="0" length="0">
    <dxf>
      <font>
        <sz val="11"/>
        <color auto="1"/>
        <name val="Arial Narrow"/>
        <scheme val="none"/>
      </font>
      <numFmt numFmtId="2" formatCode="0.00"/>
      <fill>
        <patternFill patternType="solid">
          <bgColor theme="0"/>
        </patternFill>
      </fill>
      <alignment horizontal="center" vertical="center" readingOrder="0"/>
    </dxf>
  </rfmt>
  <rcc rId="8144" sId="29" odxf="1" dxf="1" numFmtId="4">
    <nc r="D33">
      <v>96.41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5" sId="29" odxf="1" dxf="1" numFmtId="4">
    <nc r="E33">
      <v>107.76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6" sId="29" odxf="1" dxf="1" numFmtId="4">
    <nc r="F33">
      <v>113.43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3" start="0" length="0">
    <dxf>
      <font>
        <sz val="11"/>
        <color rgb="FF0000FF"/>
        <name val="Arial Narrow"/>
        <scheme val="none"/>
      </font>
      <fill>
        <patternFill patternType="solid">
          <bgColor theme="0"/>
        </patternFill>
      </fill>
      <alignment vertical="center" readingOrder="0"/>
    </dxf>
  </rfmt>
  <rfmt sheetId="29" sqref="A34" start="0" length="0">
    <dxf>
      <font>
        <sz val="11"/>
        <color auto="1"/>
        <name val="Arial Narrow"/>
        <scheme val="none"/>
      </font>
      <fill>
        <patternFill patternType="solid">
          <bgColor theme="0"/>
        </patternFill>
      </fill>
      <alignment vertical="center" readingOrder="0"/>
    </dxf>
  </rfmt>
  <rfmt sheetId="29" sqref="B34" start="0" length="0">
    <dxf>
      <font>
        <sz val="11"/>
        <color auto="1"/>
        <name val="Arial Narrow"/>
        <scheme val="none"/>
      </font>
      <fill>
        <patternFill patternType="solid">
          <bgColor theme="0"/>
        </patternFill>
      </fill>
      <alignment vertical="center" readingOrder="0"/>
    </dxf>
  </rfmt>
  <rfmt sheetId="29" sqref="C34" start="0" length="0">
    <dxf>
      <font>
        <sz val="11"/>
        <color auto="1"/>
        <name val="Arial Narrow"/>
        <scheme val="none"/>
      </font>
      <fill>
        <patternFill patternType="solid">
          <bgColor theme="0"/>
        </patternFill>
      </fill>
      <alignment vertical="center" readingOrder="0"/>
    </dxf>
  </rfmt>
  <rfmt sheetId="29" sqref="D34" start="0" length="0">
    <dxf>
      <font>
        <sz val="11"/>
        <color auto="1"/>
        <name val="Arial Narrow"/>
        <scheme val="none"/>
      </font>
      <fill>
        <patternFill patternType="solid">
          <bgColor theme="0"/>
        </patternFill>
      </fill>
      <alignment vertical="center" readingOrder="0"/>
    </dxf>
  </rfmt>
  <rfmt sheetId="29" sqref="E34" start="0" length="0">
    <dxf>
      <font>
        <sz val="11"/>
        <color auto="1"/>
        <name val="Arial Narrow"/>
        <scheme val="none"/>
      </font>
      <fill>
        <patternFill patternType="solid">
          <bgColor theme="0"/>
        </patternFill>
      </fill>
      <alignment vertical="center" readingOrder="0"/>
    </dxf>
  </rfmt>
  <rfmt sheetId="29" sqref="F34" start="0" length="0">
    <dxf>
      <font>
        <sz val="11"/>
        <color auto="1"/>
        <name val="Arial Narrow"/>
        <scheme val="none"/>
      </font>
      <fill>
        <patternFill patternType="solid">
          <bgColor theme="0"/>
        </patternFill>
      </fill>
      <alignment vertical="center" readingOrder="0"/>
    </dxf>
  </rfmt>
  <rfmt sheetId="29" sqref="G34" start="0" length="0">
    <dxf>
      <font>
        <sz val="11"/>
        <color theme="1"/>
        <name val="Arial Narrow"/>
        <scheme val="none"/>
      </font>
      <fill>
        <patternFill patternType="solid">
          <bgColor theme="0"/>
        </patternFill>
      </fill>
      <alignment vertical="center" readingOrder="0"/>
    </dxf>
  </rfmt>
  <rcc rId="8147" sId="29" odxf="1" dxf="1">
    <nc r="A35" t="inlineStr">
      <is>
        <t>Стартовый металлический профиль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148" sId="29" odxf="1" dxf="1">
    <nc r="B3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35" start="0" length="0">
    <dxf>
      <font>
        <b/>
        <sz val="11"/>
        <color auto="1"/>
        <name val="Arial Narrow"/>
        <scheme val="none"/>
      </font>
      <numFmt numFmtId="2" formatCode="0.00"/>
      <fill>
        <patternFill patternType="solid">
          <bgColor theme="0"/>
        </patternFill>
      </fill>
      <alignment horizontal="center" vertical="center" readingOrder="0"/>
    </dxf>
  </rfmt>
  <rfmt sheetId="29" sqref="D3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35" start="0" length="0">
    <dxf>
      <fill>
        <patternFill patternType="solid">
          <bgColor rgb="FFFFFF00"/>
        </patternFill>
      </fill>
      <alignment vertical="center" wrapText="1" readingOrder="0"/>
      <border outline="0">
        <top style="thin">
          <color indexed="64"/>
        </top>
        <bottom style="double">
          <color indexed="64"/>
        </bottom>
      </border>
    </dxf>
  </rfmt>
  <rfmt sheetId="29" sqref="F3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35" start="0" length="0">
    <dxf>
      <font>
        <b/>
        <sz val="11"/>
        <color theme="1"/>
        <name val="Arial Narrow"/>
        <scheme val="none"/>
      </font>
      <fill>
        <patternFill patternType="solid">
          <bgColor theme="0"/>
        </patternFill>
      </fill>
      <alignment vertical="center" readingOrder="0"/>
    </dxf>
  </rfmt>
  <rcc rId="8149" sId="29" odxf="1" dxf="1">
    <nc r="A36" t="inlineStr">
      <is>
        <t>Стартовый металлический</t>
      </is>
    </nc>
    <odxf>
      <font>
        <b val="0"/>
        <sz val="11"/>
        <color theme="1"/>
        <name val="Calibri"/>
        <scheme val="minor"/>
      </font>
      <alignment horizontal="general" vertical="bottom" readingOrder="0"/>
      <border outline="0">
        <left/>
        <right/>
        <bottom/>
      </border>
    </odxf>
    <ndxf>
      <font>
        <b/>
        <sz val="11"/>
        <color auto="1"/>
        <name val="Arial Narrow"/>
        <scheme val="none"/>
      </font>
      <alignment horizontal="left" vertical="center" readingOrder="0"/>
      <border outline="0">
        <left style="thin">
          <color indexed="64"/>
        </left>
        <right style="thin">
          <color indexed="64"/>
        </right>
        <bottom style="thin">
          <color indexed="64"/>
        </bottom>
      </border>
    </ndxf>
  </rcc>
  <rcc rId="8150" sId="29" odxf="1" dxf="1">
    <nc r="B3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6" start="0" length="0">
    <dxf>
      <font>
        <sz val="11"/>
        <color auto="1"/>
        <name val="Arial Narrow"/>
        <scheme val="none"/>
      </font>
      <numFmt numFmtId="2" formatCode="0.00"/>
      <fill>
        <patternFill patternType="solid">
          <bgColor theme="0"/>
        </patternFill>
      </fill>
      <alignment horizontal="center" vertical="center" readingOrder="0"/>
    </dxf>
  </rfmt>
  <rcc rId="8151" sId="29" odxf="1" dxf="1" numFmtId="4">
    <nc r="D36">
      <v>139.33000000000001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52" sId="29" odxf="1" dxf="1" numFmtId="4">
    <nc r="E36">
      <v>194.66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53" sId="29" odxf="1" dxf="1" numFmtId="4">
    <nc r="F36">
      <v>204.9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9" sqref="G36" start="0" length="0">
    <dxf>
      <font>
        <sz val="11"/>
        <color rgb="FF0000FF"/>
        <name val="Arial Narrow"/>
        <scheme val="none"/>
      </font>
      <fill>
        <patternFill patternType="solid">
          <bgColor theme="0"/>
        </patternFill>
      </fill>
      <alignment vertical="center" readingOrder="0"/>
    </dxf>
  </rfmt>
  <rfmt sheetId="29" sqref="A37" start="0" length="0">
    <dxf>
      <font>
        <b/>
        <sz val="11"/>
        <color auto="1"/>
        <name val="Arial Narrow"/>
        <scheme val="none"/>
      </font>
      <fill>
        <patternFill patternType="solid">
          <bgColor rgb="FFFFFF00"/>
        </patternFill>
      </fill>
      <alignment horizontal="left" vertical="center" readingOrder="0"/>
    </dxf>
  </rfmt>
  <rfmt sheetId="29" sqref="B37" start="0" length="0">
    <dxf>
      <font>
        <sz val="11"/>
        <color auto="1"/>
        <name val="Arial Narrow"/>
        <scheme val="none"/>
      </font>
      <fill>
        <patternFill patternType="solid">
          <bgColor rgb="FFFFFF00"/>
        </patternFill>
      </fill>
      <alignment vertical="center" readingOrder="0"/>
    </dxf>
  </rfmt>
  <rfmt sheetId="29" sqref="C37" start="0" length="0">
    <dxf>
      <font>
        <sz val="11"/>
        <color theme="1"/>
        <name val="Arial Narrow"/>
        <scheme val="none"/>
      </font>
      <fill>
        <patternFill patternType="solid">
          <bgColor rgb="FFFFFF00"/>
        </patternFill>
      </fill>
      <alignment vertical="center" readingOrder="0"/>
    </dxf>
  </rfmt>
  <rfmt sheetId="29" sqref="D37" start="0" length="0">
    <dxf>
      <font>
        <sz val="11"/>
        <color theme="1"/>
        <name val="Arial Narrow"/>
        <scheme val="none"/>
      </font>
      <fill>
        <patternFill patternType="solid">
          <bgColor rgb="FFFFFF00"/>
        </patternFill>
      </fill>
      <alignment vertical="center" readingOrder="0"/>
    </dxf>
  </rfmt>
  <rcc rId="8154" sId="29" odxf="1" dxf="1">
    <nc r="E37"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2"/>
        <color auto="1"/>
        <name val="Arial Narrow"/>
        <scheme val="none"/>
      </font>
      <fill>
        <patternFill patternType="solid">
          <bgColor rgb="FFFFFF00"/>
        </patternFill>
      </fill>
      <alignment horizontal="left" vertical="center" wrapText="1" readingOrder="0"/>
      <border outline="0">
        <top style="thin">
          <color indexed="64"/>
        </top>
      </border>
    </ndxf>
  </rcc>
  <rfmt sheetId="29" sqref="F37"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9" sqref="G37"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9" sqref="A38" start="0" length="0">
    <dxf>
      <font>
        <sz val="11"/>
        <color theme="1"/>
        <name val="Arial Narrow"/>
        <scheme val="none"/>
      </font>
      <numFmt numFmtId="19" formatCode="dd/mm/yyyy"/>
      <fill>
        <patternFill patternType="solid">
          <bgColor theme="8" tint="0.79998168889431442"/>
        </patternFill>
      </fill>
      <alignment vertical="center" readingOrder="0"/>
    </dxf>
  </rfmt>
  <rfmt sheetId="29" sqref="B38" start="0" length="0">
    <dxf>
      <font>
        <sz val="11"/>
        <color theme="1"/>
        <name val="Arial Narrow"/>
        <scheme val="none"/>
      </font>
      <fill>
        <patternFill patternType="solid">
          <bgColor theme="8" tint="0.79998168889431442"/>
        </patternFill>
      </fill>
      <alignment vertical="center" readingOrder="0"/>
    </dxf>
  </rfmt>
  <rfmt sheetId="29" sqref="C38" start="0" length="0">
    <dxf>
      <font>
        <sz val="11"/>
        <color auto="1"/>
        <name val="Arial Narrow"/>
        <scheme val="none"/>
      </font>
      <fill>
        <patternFill patternType="solid">
          <bgColor theme="8" tint="0.79998168889431442"/>
        </patternFill>
      </fill>
      <alignment vertical="center" readingOrder="0"/>
    </dxf>
  </rfmt>
  <rfmt sheetId="29" sqref="D38" start="0" length="0">
    <dxf>
      <font>
        <sz val="11"/>
        <color auto="1"/>
        <name val="Arial Narrow"/>
        <scheme val="none"/>
      </font>
      <fill>
        <patternFill patternType="solid">
          <bgColor theme="8" tint="0.79998168889431442"/>
        </patternFill>
      </fill>
      <alignment vertical="center" readingOrder="0"/>
    </dxf>
  </rfmt>
  <rfmt sheetId="29" sqref="E38" start="0" length="0">
    <dxf>
      <font>
        <sz val="12"/>
        <color theme="1"/>
        <name val="Calibri"/>
        <scheme val="minor"/>
      </font>
      <alignment vertical="center" wrapText="1" readingOrder="0"/>
    </dxf>
  </rfmt>
  <rfmt sheetId="29" sqref="F38" start="0" length="0">
    <dxf>
      <font>
        <sz val="12"/>
        <color theme="1"/>
        <name val="Calibri"/>
        <scheme val="minor"/>
      </font>
      <alignment vertical="center" wrapText="1" readingOrder="0"/>
    </dxf>
  </rfmt>
  <rfmt sheetId="29" sqref="G38" start="0" length="0">
    <dxf>
      <font>
        <sz val="12"/>
        <color theme="1"/>
        <name val="Calibri"/>
        <scheme val="minor"/>
      </font>
      <alignment vertical="center" wrapText="1" readingOrder="0"/>
    </dxf>
  </rfmt>
  <rfmt sheetId="29" sqref="A39" start="0" length="0">
    <dxf>
      <font>
        <b/>
        <sz val="11"/>
        <color theme="1"/>
        <name val="Arial Narrow"/>
        <scheme val="none"/>
      </font>
      <numFmt numFmtId="30" formatCode="@"/>
      <fill>
        <patternFill patternType="solid">
          <bgColor theme="8" tint="0.79998168889431442"/>
        </patternFill>
      </fill>
      <alignment horizontal="left" vertical="center" readingOrder="0"/>
    </dxf>
  </rfmt>
  <rfmt sheetId="29" sqref="B39" start="0" length="0">
    <dxf>
      <font>
        <sz val="11"/>
        <color theme="1"/>
        <name val="Arial Narrow"/>
        <scheme val="none"/>
      </font>
      <fill>
        <patternFill patternType="solid">
          <bgColor theme="8" tint="0.79998168889431442"/>
        </patternFill>
      </fill>
      <alignment vertical="center" readingOrder="0"/>
    </dxf>
  </rfmt>
  <rfmt sheetId="29" sqref="C39" start="0" length="0">
    <dxf>
      <font>
        <sz val="11"/>
        <color auto="1"/>
        <name val="Arial Narrow"/>
        <scheme val="none"/>
      </font>
      <fill>
        <patternFill patternType="solid">
          <bgColor theme="8" tint="0.79998168889431442"/>
        </patternFill>
      </fill>
      <alignment vertical="center" readingOrder="0"/>
    </dxf>
  </rfmt>
  <rfmt sheetId="29" sqref="D39" start="0" length="0">
    <dxf>
      <font>
        <sz val="11"/>
        <color auto="1"/>
        <name val="Arial Narrow"/>
        <scheme val="none"/>
      </font>
      <fill>
        <patternFill patternType="solid">
          <bgColor theme="8" tint="0.79998168889431442"/>
        </patternFill>
      </fill>
      <alignment vertical="center" readingOrder="0"/>
    </dxf>
  </rfmt>
  <rfmt sheetId="29" sqref="E39" start="0" length="0">
    <dxf>
      <font>
        <sz val="11"/>
        <color auto="1"/>
        <name val="Arial Narrow"/>
        <scheme val="none"/>
      </font>
      <fill>
        <patternFill patternType="solid">
          <bgColor theme="8" tint="0.79998168889431442"/>
        </patternFill>
      </fill>
      <alignment vertical="center" readingOrder="0"/>
    </dxf>
  </rfmt>
  <rfmt sheetId="29" sqref="F39" start="0" length="0">
    <dxf>
      <font>
        <sz val="11"/>
        <color auto="1"/>
        <name val="Arial Narrow"/>
        <scheme val="none"/>
      </font>
      <fill>
        <patternFill patternType="solid">
          <bgColor theme="8" tint="0.79998168889431442"/>
        </patternFill>
      </fill>
      <alignment vertical="center" readingOrder="0"/>
    </dxf>
  </rfmt>
  <rfmt sheetId="29" sqref="G39" start="0" length="0">
    <dxf>
      <font>
        <sz val="11"/>
        <color auto="1"/>
        <name val="Arial Narrow"/>
        <scheme val="none"/>
      </font>
      <fill>
        <patternFill patternType="solid">
          <bgColor theme="8" tint="0.79998168889431442"/>
        </patternFill>
      </fill>
      <alignment vertical="center" readingOrder="0"/>
    </dxf>
  </rfmt>
  <rcc rId="8155" sId="29" xfDxf="1" dxf="1">
    <nc r="A2" t="inlineStr">
      <is>
        <t>ООО "ЦЕНТР-ТИМ"   Платонов Иван 89536104242  centrtim57@mail.ru  28/03/19</t>
      </is>
    </nc>
  </rcc>
  <rfmt sheetId="29" sqref="A2" start="0" length="2147483647">
    <dxf>
      <font>
        <sz val="20"/>
      </font>
    </dxf>
  </rfmt>
  <rrc rId="8156" sId="29" ref="A1:XFD1" action="deleteRow">
    <rfmt sheetId="29" xfDxf="1" sqref="A1:XFD1" start="0" length="0"/>
  </rrc>
  <rfmt sheetId="29" sqref="A1:F1">
    <dxf>
      <fill>
        <patternFill patternType="solid">
          <bgColor rgb="FF00B0F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xml><?xml version="1.0" encoding="utf-8"?>
<revisions xmlns="http://schemas.openxmlformats.org/spreadsheetml/2006/main" xmlns:r="http://schemas.openxmlformats.org/officeDocument/2006/relationships">
  <ris rId="7780" sheetId="28" name="[ПРАЙС ЦЕНТР-ТИМ 2019 обновленный.xlsx]Лист3" sheetPosition="27"/>
  <rcc rId="7781" sId="28" odxf="1" dxf="1">
    <nc r="A3" t="inlineStr">
      <is>
        <t>Наименование</t>
      </is>
    </nc>
    <odxf>
      <font>
        <b val="0"/>
        <sz val="11"/>
        <color theme="1"/>
        <name val="Calibri"/>
        <scheme val="minor"/>
      </font>
      <alignment horizontal="general" vertical="bottom" wrapText="0" readingOrder="0"/>
      <border outline="0">
        <left/>
        <top/>
        <bottom/>
      </border>
    </odxf>
    <ndxf>
      <font>
        <b/>
        <sz val="24"/>
        <color auto="1"/>
        <name val="Arial Narrow"/>
        <scheme val="none"/>
      </font>
      <alignment horizontal="center" vertical="center" wrapText="1" readingOrder="0"/>
      <border outline="0">
        <left style="medium">
          <color indexed="64"/>
        </left>
        <top style="medium">
          <color indexed="64"/>
        </top>
        <bottom style="medium">
          <color indexed="64"/>
        </bottom>
      </border>
    </ndxf>
  </rcc>
  <rcc rId="7782" sId="28" odxf="1" dxf="1">
    <nc r="B3" t="inlineStr">
      <is>
        <t>Кол-во  в упаковке</t>
      </is>
    </nc>
    <odxf>
      <font>
        <sz val="11"/>
        <color theme="1"/>
        <name val="Calibri"/>
        <scheme val="minor"/>
      </font>
      <alignment horizontal="general" vertical="bottom" wrapText="0" readingOrder="0"/>
      <border outline="0">
        <left/>
        <right/>
        <top/>
        <bottom/>
      </border>
    </odxf>
    <ndxf>
      <font>
        <sz val="9"/>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28" sqref="C3" start="0" length="0">
    <dxf>
      <font>
        <sz val="9"/>
        <color auto="1"/>
        <name val="Arial Narrow"/>
        <scheme val="none"/>
      </font>
      <fill>
        <patternFill patternType="solid">
          <bgColor theme="0"/>
        </patternFill>
      </fill>
      <alignment horizontal="center" vertical="center" wrapText="1" readingOrder="0"/>
    </dxf>
  </rfmt>
  <rcc rId="7783" sId="28" odxf="1" dxf="1">
    <nc r="D3" t="inlineStr">
      <is>
        <t>Для Кровельных и Торгующих организация</t>
      </is>
    </nc>
    <odxf>
      <font>
        <b val="0"/>
        <sz val="11"/>
        <color theme="1"/>
        <name val="Calibri"/>
        <scheme val="minor"/>
      </font>
      <fill>
        <patternFill patternType="none">
          <bgColor indexed="65"/>
        </patternFill>
      </fill>
      <alignment horizontal="general" vertical="bottom" wrapText="0" readingOrder="0"/>
      <border outline="0">
        <lef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top style="medium">
          <color indexed="64"/>
        </top>
        <bottom style="medium">
          <color indexed="64"/>
        </bottom>
      </border>
    </ndxf>
  </rcc>
  <rcc rId="7784" sId="28"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right style="medium">
          <color indexed="64"/>
        </right>
        <top style="medium">
          <color indexed="64"/>
        </top>
        <bottom style="medium">
          <color indexed="64"/>
        </bottom>
      </border>
    </ndxf>
  </rcc>
  <rcc rId="7785" sId="28"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right/>
        <top/>
        <bottom/>
      </border>
    </odxf>
    <ndxf>
      <font>
        <b/>
        <sz val="9"/>
        <color auto="1"/>
        <name val="Arial Narrow"/>
        <scheme val="none"/>
      </font>
      <fill>
        <patternFill patternType="solid">
          <bgColor rgb="FFCCFFCC"/>
        </patternFill>
      </fill>
      <alignment horizontal="center" vertical="center" wrapText="1" readingOrder="0"/>
      <border outline="0">
        <right style="medium">
          <color indexed="64"/>
        </right>
        <top style="medium">
          <color indexed="64"/>
        </top>
        <bottom style="medium">
          <color indexed="64"/>
        </bottom>
      </border>
    </ndxf>
  </rcc>
  <rfmt sheetId="28" sqref="G3" start="0" length="0">
    <dxf>
      <font>
        <sz val="9"/>
        <color theme="1"/>
        <name val="Arial Narrow"/>
        <scheme val="none"/>
      </font>
      <fill>
        <patternFill patternType="solid">
          <bgColor theme="0"/>
        </patternFill>
      </fill>
      <alignment horizontal="center" vertical="center" readingOrder="0"/>
    </dxf>
  </rfmt>
  <rfmt sheetId="28" sqref="A4" start="0" length="0">
    <dxf>
      <font>
        <sz val="11"/>
        <color auto="1"/>
        <name val="Arial Narrow"/>
        <scheme val="none"/>
      </font>
      <alignment vertical="center" readingOrder="0"/>
    </dxf>
  </rfmt>
  <rfmt sheetId="28" sqref="B4" start="0" length="0">
    <dxf>
      <font>
        <sz val="11"/>
        <color auto="1"/>
        <name val="Arial Narrow"/>
        <scheme val="none"/>
      </font>
      <alignment vertical="center" readingOrder="0"/>
    </dxf>
  </rfmt>
  <rfmt sheetId="28" sqref="C4" start="0" length="0">
    <dxf>
      <font>
        <sz val="11"/>
        <color auto="1"/>
        <name val="Arial Narrow"/>
        <scheme val="none"/>
      </font>
      <numFmt numFmtId="168" formatCode="#,##0.00&quot;р.&quot;"/>
      <fill>
        <patternFill patternType="solid">
          <bgColor theme="0"/>
        </patternFill>
      </fill>
      <alignment vertical="center" readingOrder="0"/>
    </dxf>
  </rfmt>
  <rfmt sheetId="28" sqref="D4" start="0" length="0">
    <dxf>
      <font>
        <sz val="11"/>
        <color auto="1"/>
        <name val="Arial Narrow"/>
        <scheme val="none"/>
      </font>
      <numFmt numFmtId="168" formatCode="#,##0.00&quot;р.&quot;"/>
      <fill>
        <patternFill patternType="solid">
          <bgColor theme="0"/>
        </patternFill>
      </fill>
      <alignment vertical="center" readingOrder="0"/>
    </dxf>
  </rfmt>
  <rfmt sheetId="28" sqref="E4" start="0" length="0">
    <dxf>
      <font>
        <sz val="11"/>
        <color auto="1"/>
        <name val="Arial Narrow"/>
        <scheme val="none"/>
      </font>
      <numFmt numFmtId="168" formatCode="#,##0.00&quot;р.&quot;"/>
      <fill>
        <patternFill patternType="solid">
          <bgColor theme="0"/>
        </patternFill>
      </fill>
      <alignment vertical="center" readingOrder="0"/>
    </dxf>
  </rfmt>
  <rfmt sheetId="28" sqref="F4" start="0" length="0">
    <dxf>
      <font>
        <sz val="11"/>
        <color auto="1"/>
        <name val="Arial Narrow"/>
        <scheme val="none"/>
      </font>
      <numFmt numFmtId="168" formatCode="#,##0.00&quot;р.&quot;"/>
      <fill>
        <patternFill patternType="solid">
          <bgColor theme="0"/>
        </patternFill>
      </fill>
      <alignment vertical="center" readingOrder="0"/>
    </dxf>
  </rfmt>
  <rfmt sheetId="28" sqref="G4" start="0" length="0">
    <dxf>
      <font>
        <sz val="11"/>
        <color theme="1"/>
        <name val="Arial Narrow"/>
        <scheme val="none"/>
      </font>
      <fill>
        <patternFill patternType="solid">
          <bgColor theme="0"/>
        </patternFill>
      </fill>
      <alignment vertical="center" readingOrder="0"/>
    </dxf>
  </rfmt>
  <rcc rId="7786" sId="28" odxf="1" dxf="1">
    <nc r="A5" t="inlineStr">
      <is>
        <t>Döcke PREMIUM Сайдинг Виниловый</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787" sId="28"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5" start="0" length="0">
    <dxf>
      <font>
        <b/>
        <sz val="11"/>
        <color auto="1"/>
        <name val="Arial Narrow"/>
        <scheme val="none"/>
      </font>
      <numFmt numFmtId="2" formatCode="0.00"/>
      <fill>
        <patternFill patternType="solid">
          <bgColor theme="0"/>
        </patternFill>
      </fill>
      <alignment horizontal="center" vertical="center" readingOrder="0"/>
    </dxf>
  </rfmt>
  <rfmt sheetId="28"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5" start="0" length="0">
    <dxf>
      <fill>
        <patternFill patternType="solid">
          <bgColor rgb="FFFFFF00"/>
        </patternFill>
      </fill>
      <alignment vertical="center" wrapText="1" readingOrder="0"/>
      <border outline="0">
        <top style="thin">
          <color indexed="64"/>
        </top>
        <bottom style="double">
          <color indexed="64"/>
        </bottom>
      </border>
    </dxf>
  </rfmt>
  <rfmt sheetId="28"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5" start="0" length="0">
    <dxf>
      <font>
        <b/>
        <sz val="11"/>
        <color theme="1"/>
        <name val="Arial Narrow"/>
        <scheme val="none"/>
      </font>
      <fill>
        <patternFill patternType="solid">
          <bgColor theme="0"/>
        </patternFill>
      </fill>
      <alignment vertical="center" readingOrder="0"/>
    </dxf>
  </rfmt>
  <rcc rId="7788" sId="28" odxf="1" dxf="1">
    <nc r="A6" t="inlineStr">
      <is>
        <r>
          <t xml:space="preserve">Сайдинг </t>
        </r>
        <r>
          <rPr>
            <b/>
            <sz val="11"/>
            <rFont val="Arial Narrow"/>
            <family val="2"/>
            <charset val="204"/>
          </rPr>
          <t>D4,5D</t>
        </r>
        <r>
          <rPr>
            <sz val="11"/>
            <rFont val="Arial Narrow"/>
            <family val="2"/>
            <charset val="204"/>
          </rPr>
          <t xml:space="preserve"> (все цвета, кроме Ирис, Пралине)</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789" sId="28" odxf="1" dxf="1">
    <nc r="B6">
      <v>20</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6" start="0" length="0">
    <dxf>
      <font>
        <sz val="11"/>
        <color rgb="FFFF0000"/>
        <name val="Arial Narrow"/>
        <scheme val="none"/>
      </font>
      <numFmt numFmtId="2" formatCode="0.00"/>
      <fill>
        <patternFill patternType="solid">
          <bgColor theme="0"/>
        </patternFill>
      </fill>
      <alignment horizontal="center" vertical="center" readingOrder="0"/>
    </dxf>
  </rfmt>
  <rcc rId="7790" sId="28" odxf="1" dxf="1" numFmtId="4">
    <nc r="D6">
      <v>184.4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1" sId="28" odxf="1" dxf="1" numFmtId="4">
    <nc r="E6">
      <v>188.36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2" sId="28" odxf="1" dxf="1" numFmtId="4">
    <nc r="F6">
      <v>198.28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6" start="0" length="0">
    <dxf>
      <font>
        <sz val="11"/>
        <color rgb="FF0000FF"/>
        <name val="Arial Narrow"/>
        <scheme val="none"/>
      </font>
      <fill>
        <patternFill patternType="solid">
          <bgColor theme="0"/>
        </patternFill>
      </fill>
      <alignment vertical="center" readingOrder="0"/>
    </dxf>
  </rfmt>
  <rcc rId="7793" sId="28" odxf="1" dxf="1">
    <nc r="A7" t="inlineStr">
      <is>
        <r>
          <t xml:space="preserve">Сайдинг </t>
        </r>
        <r>
          <rPr>
            <b/>
            <sz val="11"/>
            <rFont val="Arial Narrow"/>
            <family val="2"/>
            <charset val="204"/>
          </rPr>
          <t>S7</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794" sId="28" odxf="1" dxf="1">
    <nc r="B7">
      <v>16</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7" start="0" length="0">
    <dxf>
      <font>
        <sz val="11"/>
        <color rgb="FFFF0000"/>
        <name val="Arial Narrow"/>
        <scheme val="none"/>
      </font>
      <numFmt numFmtId="2" formatCode="0.00"/>
      <fill>
        <patternFill patternType="solid">
          <bgColor theme="0"/>
        </patternFill>
      </fill>
      <alignment horizontal="center" vertical="center" readingOrder="0"/>
    </dxf>
  </rfmt>
  <rcc rId="7795" sId="28" odxf="1" dxf="1" numFmtId="4">
    <nc r="D7">
      <v>128.85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6" sId="28" odxf="1" dxf="1" numFmtId="4">
    <nc r="E7">
      <v>131.62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7" sId="28" odxf="1" dxf="1" numFmtId="4">
    <nc r="F7">
      <v>138.55000000000001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7" start="0" length="0">
    <dxf>
      <font>
        <sz val="11"/>
        <color rgb="FF0000FF"/>
        <name val="Arial Narrow"/>
        <scheme val="none"/>
      </font>
      <fill>
        <patternFill patternType="solid">
          <bgColor theme="0"/>
        </patternFill>
      </fill>
      <alignment vertical="center" readingOrder="0"/>
    </dxf>
  </rfmt>
  <rcc rId="7798" sId="28" odxf="1" dxf="1">
    <nc r="A8" t="inlineStr">
      <is>
        <r>
          <rPr>
            <b/>
            <sz val="11"/>
            <rFont val="Arial Narrow"/>
            <family val="2"/>
            <charset val="204"/>
          </rPr>
          <t>БлокХаус</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799" sId="28" odxf="1" dxf="1">
    <nc r="B8">
      <v>20</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8" start="0" length="0">
    <dxf>
      <font>
        <sz val="11"/>
        <color rgb="FFFF0000"/>
        <name val="Arial Narrow"/>
        <scheme val="none"/>
      </font>
      <numFmt numFmtId="2" formatCode="0.00"/>
      <fill>
        <patternFill patternType="solid">
          <bgColor theme="0"/>
        </patternFill>
      </fill>
      <alignment horizontal="center" vertical="center" readingOrder="0"/>
    </dxf>
  </rfmt>
  <rcc rId="7800" sId="28" odxf="1" dxf="1" numFmtId="4">
    <nc r="D8">
      <v>219.52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01" sId="28" odxf="1" dxf="1" numFmtId="4">
    <nc r="E8">
      <v>225.24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02" sId="28" odxf="1" dxf="1" numFmtId="4">
    <nc r="F8">
      <v>236.05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8" start="0" length="0">
    <dxf>
      <font>
        <sz val="11"/>
        <color rgb="FF0000FF"/>
        <name val="Arial Narrow"/>
        <scheme val="none"/>
      </font>
      <fill>
        <patternFill patternType="solid">
          <bgColor theme="0"/>
        </patternFill>
      </fill>
      <alignment vertical="center" readingOrder="0"/>
    </dxf>
  </rfmt>
  <rfmt sheetId="28" sqref="A9" start="0" length="0">
    <dxf>
      <font>
        <sz val="11"/>
        <color auto="1"/>
        <name val="Arial Narrow"/>
        <scheme val="none"/>
      </font>
      <fill>
        <patternFill patternType="solid">
          <bgColor theme="0"/>
        </patternFill>
      </fill>
      <alignment vertical="center" readingOrder="0"/>
    </dxf>
  </rfmt>
  <rfmt sheetId="28" sqref="B9" start="0" length="0">
    <dxf>
      <font>
        <sz val="11"/>
        <color theme="1"/>
        <name val="Arial Narrow"/>
        <scheme val="none"/>
      </font>
      <fill>
        <patternFill patternType="solid">
          <bgColor theme="0"/>
        </patternFill>
      </fill>
      <alignment vertical="center" readingOrder="0"/>
    </dxf>
  </rfmt>
  <rfmt sheetId="28" sqref="C9" start="0" length="0">
    <dxf>
      <font>
        <sz val="11"/>
        <color auto="1"/>
        <name val="Arial Narrow"/>
        <scheme val="none"/>
      </font>
      <numFmt numFmtId="2" formatCode="0.00"/>
      <fill>
        <patternFill patternType="solid">
          <bgColor theme="0"/>
        </patternFill>
      </fill>
      <alignment horizontal="center" vertical="center" readingOrder="0"/>
    </dxf>
  </rfmt>
  <rfmt sheetId="28" sqref="D9" start="0" length="0">
    <dxf>
      <font>
        <i/>
        <sz val="11"/>
        <color auto="1"/>
        <name val="Arial Narrow"/>
        <scheme val="none"/>
      </font>
      <numFmt numFmtId="13" formatCode="0%"/>
      <fill>
        <patternFill patternType="solid">
          <bgColor theme="0"/>
        </patternFill>
      </fill>
      <alignment vertical="center" readingOrder="0"/>
    </dxf>
  </rfmt>
  <rfmt sheetId="28" sqref="E9" start="0" length="0">
    <dxf>
      <font>
        <sz val="11"/>
        <color auto="1"/>
        <name val="Arial Narrow"/>
        <scheme val="none"/>
      </font>
      <numFmt numFmtId="13" formatCode="0%"/>
      <fill>
        <patternFill patternType="solid">
          <bgColor theme="0"/>
        </patternFill>
      </fill>
      <alignment vertical="center" readingOrder="0"/>
    </dxf>
  </rfmt>
  <rfmt sheetId="28" sqref="F9" start="0" length="0">
    <dxf>
      <font>
        <sz val="11"/>
        <color auto="1"/>
        <name val="Arial Narrow"/>
        <scheme val="none"/>
      </font>
      <numFmt numFmtId="13" formatCode="0%"/>
      <fill>
        <patternFill patternType="solid">
          <bgColor theme="0"/>
        </patternFill>
      </fill>
      <alignment vertical="center" readingOrder="0"/>
    </dxf>
  </rfmt>
  <rfmt sheetId="28" sqref="G9" start="0" length="0">
    <dxf>
      <font>
        <sz val="11"/>
        <color theme="1"/>
        <name val="Arial Narrow"/>
        <scheme val="none"/>
      </font>
      <fill>
        <patternFill patternType="solid">
          <bgColor theme="0"/>
        </patternFill>
      </fill>
      <alignment vertical="center" readingOrder="0"/>
    </dxf>
  </rfmt>
  <rcc rId="7803" sId="28" odxf="1" dxf="1">
    <nc r="A10" t="inlineStr">
      <is>
        <t>Döcke PREMIUM Сайдинг Акриловый</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804" sId="28" odxf="1" dxf="1">
    <nc r="B10"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10" start="0" length="0">
    <dxf>
      <font>
        <b/>
        <sz val="11"/>
        <color auto="1"/>
        <name val="Arial Narrow"/>
        <scheme val="none"/>
      </font>
      <numFmt numFmtId="2" formatCode="0.00"/>
      <fill>
        <patternFill patternType="solid">
          <bgColor theme="0"/>
        </patternFill>
      </fill>
      <alignment horizontal="center" vertical="center" readingOrder="0"/>
    </dxf>
  </rfmt>
  <rfmt sheetId="28" sqref="D10"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10" start="0" length="0">
    <dxf>
      <fill>
        <patternFill patternType="solid">
          <bgColor rgb="FFFFFF00"/>
        </patternFill>
      </fill>
      <alignment vertical="center" wrapText="1" readingOrder="0"/>
      <border outline="0">
        <top style="thin">
          <color indexed="64"/>
        </top>
        <bottom style="double">
          <color indexed="64"/>
        </bottom>
      </border>
    </dxf>
  </rfmt>
  <rfmt sheetId="28" sqref="F10"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10" start="0" length="0">
    <dxf>
      <font>
        <b/>
        <sz val="11"/>
        <color theme="1"/>
        <name val="Arial Narrow"/>
        <scheme val="none"/>
      </font>
      <fill>
        <patternFill patternType="solid">
          <bgColor theme="0"/>
        </patternFill>
      </fill>
      <alignment vertical="center" readingOrder="0"/>
    </dxf>
  </rfmt>
  <rcc rId="7805" sId="28" odxf="1" dxf="1">
    <nc r="A11" t="inlineStr">
      <is>
        <r>
          <t xml:space="preserve">Сайдинг </t>
        </r>
        <r>
          <rPr>
            <b/>
            <sz val="11"/>
            <rFont val="Arial Narrow"/>
            <family val="2"/>
            <charset val="204"/>
          </rPr>
          <t>D4,5D</t>
        </r>
        <r>
          <rPr>
            <sz val="11"/>
            <rFont val="Arial Narrow"/>
            <family val="2"/>
            <charset val="204"/>
          </rPr>
          <t xml:space="preserve"> (Ирис, Пралине)</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806" sId="28" odxf="1" dxf="1">
    <nc r="B11">
      <v>20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11" start="0" length="0">
    <dxf>
      <font>
        <sz val="11"/>
        <color rgb="FFFF0000"/>
        <name val="Arial Narrow"/>
        <scheme val="none"/>
      </font>
      <numFmt numFmtId="2" formatCode="0.00"/>
      <fill>
        <patternFill patternType="solid">
          <bgColor theme="0"/>
        </patternFill>
      </fill>
      <alignment horizontal="center" vertical="center" readingOrder="0"/>
    </dxf>
  </rfmt>
  <rcc rId="7807" sId="28" odxf="1" dxf="1" numFmtId="4">
    <nc r="D11">
      <v>228.58</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808" sId="28" odxf="1" dxf="1" numFmtId="4">
    <nc r="E11">
      <v>233.49</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809" sId="28" odxf="1" dxf="1" numFmtId="4">
    <nc r="F11">
      <v>245.78</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fmt sheetId="28" sqref="G11" start="0" length="0">
    <dxf>
      <font>
        <sz val="11"/>
        <color rgb="FF0000FF"/>
        <name val="Arial Narrow"/>
        <scheme val="none"/>
      </font>
      <fill>
        <patternFill patternType="solid">
          <bgColor theme="0"/>
        </patternFill>
      </fill>
      <alignment vertical="center" readingOrder="0"/>
    </dxf>
  </rfmt>
  <rfmt sheetId="28" sqref="A12" start="0" length="0">
    <dxf>
      <font>
        <sz val="11"/>
        <color theme="1"/>
        <name val="Arial Narrow"/>
        <scheme val="none"/>
      </font>
      <fill>
        <patternFill patternType="solid">
          <bgColor theme="0"/>
        </patternFill>
      </fill>
      <alignment vertical="center" readingOrder="0"/>
    </dxf>
  </rfmt>
  <rfmt sheetId="28" sqref="B12" start="0" length="0">
    <dxf>
      <font>
        <sz val="11"/>
        <color theme="1"/>
        <name val="Arial Narrow"/>
        <scheme val="none"/>
      </font>
      <fill>
        <patternFill patternType="solid">
          <bgColor theme="0"/>
        </patternFill>
      </fill>
      <alignment vertical="center" readingOrder="0"/>
    </dxf>
  </rfmt>
  <rfmt sheetId="28" sqref="C12" start="0" length="0">
    <dxf>
      <font>
        <sz val="11"/>
        <color auto="1"/>
        <name val="Arial Narrow"/>
        <scheme val="none"/>
      </font>
      <fill>
        <patternFill patternType="solid">
          <bgColor theme="0"/>
        </patternFill>
      </fill>
      <alignment vertical="center" readingOrder="0"/>
    </dxf>
  </rfmt>
  <rfmt sheetId="28" sqref="D12" start="0" length="0">
    <dxf>
      <font>
        <i/>
        <sz val="11"/>
        <color auto="1"/>
        <name val="Arial Narrow"/>
        <scheme val="none"/>
      </font>
      <numFmt numFmtId="13" formatCode="0%"/>
      <fill>
        <patternFill patternType="solid">
          <bgColor theme="0"/>
        </patternFill>
      </fill>
      <alignment vertical="center" readingOrder="0"/>
    </dxf>
  </rfmt>
  <rfmt sheetId="28" sqref="E12" start="0" length="0">
    <dxf>
      <font>
        <sz val="11"/>
        <color auto="1"/>
        <name val="Arial Narrow"/>
        <scheme val="none"/>
      </font>
      <fill>
        <patternFill patternType="solid">
          <bgColor theme="0"/>
        </patternFill>
      </fill>
      <alignment vertical="center" readingOrder="0"/>
    </dxf>
  </rfmt>
  <rfmt sheetId="28" sqref="F12" start="0" length="0">
    <dxf>
      <font>
        <sz val="11"/>
        <color auto="1"/>
        <name val="Arial Narrow"/>
        <scheme val="none"/>
      </font>
      <fill>
        <patternFill patternType="solid">
          <bgColor theme="0"/>
        </patternFill>
      </fill>
      <alignment vertical="center" readingOrder="0"/>
    </dxf>
  </rfmt>
  <rfmt sheetId="28" sqref="G12" start="0" length="0">
    <dxf>
      <font>
        <sz val="11"/>
        <color theme="1"/>
        <name val="Arial Narrow"/>
        <scheme val="none"/>
      </font>
      <fill>
        <patternFill patternType="solid">
          <bgColor theme="0"/>
        </patternFill>
      </fill>
      <alignment vertical="center" readingOrder="0"/>
    </dxf>
  </rfmt>
  <rcc rId="7810" sId="28" odxf="1" dxf="1">
    <nc r="A13" t="inlineStr">
      <is>
        <t>Döcke PREMIUM Софиты</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811" sId="28" odxf="1" dxf="1">
    <nc r="B13"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13" start="0" length="0">
    <dxf>
      <font>
        <b/>
        <sz val="11"/>
        <color auto="1"/>
        <name val="Arial Narrow"/>
        <scheme val="none"/>
      </font>
      <numFmt numFmtId="2" formatCode="0.00"/>
      <fill>
        <patternFill patternType="solid">
          <bgColor theme="0"/>
        </patternFill>
      </fill>
      <alignment horizontal="center" vertical="center" readingOrder="0"/>
    </dxf>
  </rfmt>
  <rfmt sheetId="28" sqref="D13"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13" start="0" length="0">
    <dxf>
      <fill>
        <patternFill patternType="solid">
          <bgColor rgb="FFFFFF00"/>
        </patternFill>
      </fill>
      <alignment vertical="center" wrapText="1" readingOrder="0"/>
      <border outline="0">
        <top style="thin">
          <color indexed="64"/>
        </top>
        <bottom style="double">
          <color indexed="64"/>
        </bottom>
      </border>
    </dxf>
  </rfmt>
  <rfmt sheetId="28" sqref="F13"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13" start="0" length="0">
    <dxf>
      <font>
        <b/>
        <sz val="11"/>
        <color theme="1"/>
        <name val="Arial Narrow"/>
        <scheme val="none"/>
      </font>
      <fill>
        <patternFill patternType="solid">
          <bgColor theme="0"/>
        </patternFill>
      </fill>
      <alignment vertical="center" readingOrder="0"/>
    </dxf>
  </rfmt>
  <rcc rId="7812" sId="28" odxf="1" dxf="1">
    <nc r="A14" t="inlineStr">
      <is>
        <r>
          <rPr>
            <b/>
            <sz val="11"/>
            <rFont val="Arial Narrow"/>
            <family val="2"/>
            <charset val="204"/>
          </rPr>
          <t>Софит</t>
        </r>
        <r>
          <rPr>
            <sz val="11"/>
            <rFont val="Arial Narrow"/>
            <family val="2"/>
            <charset val="204"/>
          </rPr>
          <t xml:space="preserve"> сплошной/ перфорированный/ c центральной перфорацией (</t>
        </r>
        <r>
          <rPr>
            <b/>
            <sz val="11"/>
            <rFont val="Arial Narrow"/>
            <family val="2"/>
            <charset val="204"/>
          </rPr>
          <t>Пломбир</t>
        </r>
        <r>
          <rPr>
            <sz val="11"/>
            <rFont val="Arial Narrow"/>
            <family val="2"/>
            <charset val="204"/>
          </rPr>
          <t>)</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813" sId="28" odxf="1" dxf="1">
    <nc r="B14">
      <v>16</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14" start="0" length="0">
    <dxf>
      <font>
        <sz val="11"/>
        <color rgb="FFFF0000"/>
        <name val="Arial Narrow"/>
        <scheme val="none"/>
      </font>
      <numFmt numFmtId="2" formatCode="0.00"/>
      <fill>
        <patternFill patternType="solid">
          <bgColor theme="0"/>
        </patternFill>
      </fill>
      <alignment horizontal="center" vertical="center" readingOrder="0"/>
    </dxf>
  </rfmt>
  <rcc rId="7814" sId="28" odxf="1" dxf="1" numFmtId="4">
    <nc r="D14">
      <v>282.02999999999997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15" sId="28" odxf="1" dxf="1" numFmtId="4">
    <nc r="E14">
      <v>355.44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16" sId="28" odxf="1" dxf="1" numFmtId="4">
    <nc r="F14">
      <v>386.34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4" start="0" length="0">
    <dxf>
      <font>
        <sz val="11"/>
        <color rgb="FF0000FF"/>
        <name val="Arial Narrow"/>
        <scheme val="none"/>
      </font>
      <fill>
        <patternFill patternType="solid">
          <bgColor theme="0"/>
        </patternFill>
      </fill>
      <alignment vertical="center" readingOrder="0"/>
    </dxf>
  </rfmt>
  <rcc rId="7817" sId="28" odxf="1" dxf="1">
    <nc r="A15" t="inlineStr">
      <is>
        <r>
          <rPr>
            <b/>
            <sz val="11"/>
            <rFont val="Arial Narrow"/>
            <family val="2"/>
            <charset val="204"/>
          </rPr>
          <t xml:space="preserve">Софит </t>
        </r>
        <r>
          <rPr>
            <sz val="11"/>
            <rFont val="Arial Narrow"/>
            <family val="2"/>
            <charset val="204"/>
          </rPr>
          <t>сплошной/ перфорированный/ c центральной перфорацией (</t>
        </r>
        <r>
          <rPr>
            <b/>
            <sz val="11"/>
            <rFont val="Arial Narrow"/>
            <family val="2"/>
            <charset val="204"/>
          </rPr>
          <t>Шоколад, Гранат, Каштан, Графит</t>
        </r>
        <r>
          <rPr>
            <sz val="11"/>
            <rFont val="Arial Narrow"/>
            <family val="2"/>
            <charset val="204"/>
          </rPr>
          <t>)</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818" sId="28" odxf="1" dxf="1">
    <nc r="B15">
      <v>16</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15" start="0" length="0">
    <dxf>
      <font>
        <sz val="11"/>
        <color rgb="FFFF0000"/>
        <name val="Arial Narrow"/>
        <scheme val="none"/>
      </font>
      <numFmt numFmtId="2" formatCode="0.00"/>
      <fill>
        <patternFill patternType="solid">
          <bgColor theme="0"/>
        </patternFill>
      </fill>
      <alignment horizontal="center" vertical="center" readingOrder="0"/>
    </dxf>
  </rfmt>
  <rcc rId="7819" sId="28" odxf="1" dxf="1" numFmtId="4">
    <nc r="D15">
      <v>370.83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0" sId="28" odxf="1" dxf="1" numFmtId="4">
    <nc r="E15">
      <v>467.34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1" sId="28" odxf="1" dxf="1" numFmtId="4">
    <nc r="F15">
      <v>507.98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5" start="0" length="0">
    <dxf>
      <font>
        <sz val="11"/>
        <color rgb="FF0000FF"/>
        <name val="Arial Narrow"/>
        <scheme val="none"/>
      </font>
      <fill>
        <patternFill patternType="solid">
          <bgColor theme="0"/>
        </patternFill>
      </fill>
      <alignment vertical="center" readingOrder="0"/>
    </dxf>
  </rfmt>
  <rfmt sheetId="28" sqref="A16" start="0" length="0">
    <dxf>
      <font>
        <sz val="11"/>
        <color theme="1"/>
        <name val="Arial Narrow"/>
        <scheme val="none"/>
      </font>
      <fill>
        <patternFill patternType="solid">
          <bgColor theme="0"/>
        </patternFill>
      </fill>
      <alignment vertical="center" readingOrder="0"/>
    </dxf>
  </rfmt>
  <rfmt sheetId="28" sqref="B16" start="0" length="0">
    <dxf>
      <font>
        <sz val="11"/>
        <color theme="1"/>
        <name val="Arial Narrow"/>
        <scheme val="none"/>
      </font>
      <fill>
        <patternFill patternType="solid">
          <bgColor theme="0"/>
        </patternFill>
      </fill>
      <alignment vertical="center" readingOrder="0"/>
    </dxf>
  </rfmt>
  <rfmt sheetId="28" sqref="C16" start="0" length="0">
    <dxf>
      <font>
        <sz val="11"/>
        <color auto="1"/>
        <name val="Arial Narrow"/>
        <scheme val="none"/>
      </font>
      <fill>
        <patternFill patternType="solid">
          <bgColor theme="0"/>
        </patternFill>
      </fill>
      <alignment vertical="center" readingOrder="0"/>
    </dxf>
  </rfmt>
  <rfmt sheetId="28" sqref="D16" start="0" length="0">
    <dxf>
      <font>
        <i/>
        <sz val="11"/>
        <color auto="1"/>
        <name val="Arial Narrow"/>
        <scheme val="none"/>
      </font>
      <numFmt numFmtId="13" formatCode="0%"/>
      <fill>
        <patternFill patternType="solid">
          <bgColor theme="0"/>
        </patternFill>
      </fill>
      <alignment vertical="center" readingOrder="0"/>
    </dxf>
  </rfmt>
  <rfmt sheetId="28" sqref="E16" start="0" length="0">
    <dxf>
      <font>
        <sz val="11"/>
        <color auto="1"/>
        <name val="Arial Narrow"/>
        <scheme val="none"/>
      </font>
      <fill>
        <patternFill patternType="solid">
          <bgColor theme="0"/>
        </patternFill>
      </fill>
      <alignment vertical="center" readingOrder="0"/>
    </dxf>
  </rfmt>
  <rfmt sheetId="28" sqref="F16" start="0" length="0">
    <dxf>
      <font>
        <sz val="11"/>
        <color auto="1"/>
        <name val="Arial Narrow"/>
        <scheme val="none"/>
      </font>
      <fill>
        <patternFill patternType="solid">
          <bgColor theme="0"/>
        </patternFill>
      </fill>
      <alignment vertical="center" readingOrder="0"/>
    </dxf>
  </rfmt>
  <rfmt sheetId="28" sqref="G16" start="0" length="0">
    <dxf>
      <font>
        <sz val="11"/>
        <color theme="1"/>
        <name val="Arial Narrow"/>
        <scheme val="none"/>
      </font>
      <fill>
        <patternFill patternType="solid">
          <bgColor theme="0"/>
        </patternFill>
      </fill>
      <alignment vertical="center" readingOrder="0"/>
    </dxf>
  </rfmt>
  <rcc rId="7822" sId="28" odxf="1" dxf="1">
    <nc r="A17" t="inlineStr">
      <is>
        <t>Döcke PREMIUM Аксессуары Виловые</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823" sId="28" odxf="1" dxf="1">
    <nc r="B17"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17" start="0" length="0">
    <dxf>
      <font>
        <b/>
        <sz val="11"/>
        <color auto="1"/>
        <name val="Arial Narrow"/>
        <scheme val="none"/>
      </font>
      <numFmt numFmtId="2" formatCode="0.00"/>
      <fill>
        <patternFill patternType="solid">
          <bgColor theme="0"/>
        </patternFill>
      </fill>
      <alignment horizontal="center" vertical="center" readingOrder="0"/>
    </dxf>
  </rfmt>
  <rfmt sheetId="28" sqref="D17"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17" start="0" length="0">
    <dxf>
      <fill>
        <patternFill patternType="solid">
          <bgColor rgb="FFFFFF00"/>
        </patternFill>
      </fill>
      <alignment vertical="center" wrapText="1" readingOrder="0"/>
      <border outline="0">
        <top style="thin">
          <color indexed="64"/>
        </top>
        <bottom style="double">
          <color indexed="64"/>
        </bottom>
      </border>
    </dxf>
  </rfmt>
  <rfmt sheetId="28" sqref="F17"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17" start="0" length="0">
    <dxf>
      <font>
        <b/>
        <sz val="11"/>
        <color theme="1"/>
        <name val="Arial Narrow"/>
        <scheme val="none"/>
      </font>
      <fill>
        <patternFill patternType="solid">
          <bgColor theme="0"/>
        </patternFill>
      </fill>
      <alignment vertical="center" readingOrder="0"/>
    </dxf>
  </rfmt>
  <rcc rId="7824" sId="28" odxf="1" dxf="1">
    <nc r="A18" t="inlineStr">
      <is>
        <t>Окантовочный профиль (Пломбир)</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7825" sId="28" odxf="1" dxf="1">
    <nc r="B18">
      <v>38</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18" start="0" length="0">
    <dxf>
      <font>
        <sz val="11"/>
        <color auto="1"/>
        <name val="Arial Narrow"/>
        <scheme val="none"/>
      </font>
      <numFmt numFmtId="2" formatCode="0.00"/>
      <fill>
        <patternFill patternType="solid">
          <bgColor theme="0"/>
        </patternFill>
      </fill>
      <alignment horizontal="center" vertical="center" readingOrder="0"/>
    </dxf>
  </rfmt>
  <rcc rId="7826" sId="28" odxf="1" dxf="1" numFmtId="4">
    <nc r="D18">
      <v>297.02999999999997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7" sId="28" odxf="1" dxf="1" numFmtId="4">
    <nc r="E18">
      <v>376.23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8" sId="28" odxf="1" dxf="1" numFmtId="4">
    <nc r="F18">
      <v>396.04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8" start="0" length="0">
    <dxf>
      <font>
        <sz val="11"/>
        <color rgb="FF0000FF"/>
        <name val="Arial Narrow"/>
        <scheme val="none"/>
      </font>
      <fill>
        <patternFill patternType="solid">
          <bgColor theme="0"/>
        </patternFill>
      </fill>
      <alignment vertical="center" readingOrder="0"/>
    </dxf>
  </rfmt>
  <rcc rId="7829" sId="28" odxf="1" dxf="1">
    <nc r="A19" t="inlineStr">
      <is>
        <t>Околооконный профиль (все цвета, кроме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30" sId="28" odxf="1" dxf="1">
    <nc r="B19">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19" start="0" length="0">
    <dxf>
      <font>
        <sz val="11"/>
        <color auto="1"/>
        <name val="Arial Narrow"/>
        <scheme val="none"/>
      </font>
      <numFmt numFmtId="2" formatCode="0.00"/>
      <fill>
        <patternFill patternType="solid">
          <bgColor theme="0"/>
        </patternFill>
      </fill>
      <alignment horizontal="center" vertical="center" readingOrder="0"/>
    </dxf>
  </rfmt>
  <rcc rId="7831" sId="28" odxf="1" dxf="1" numFmtId="4">
    <nc r="D19">
      <v>477.21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2" sId="28" odxf="1" dxf="1" numFmtId="4">
    <nc r="E19">
      <v>604.47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3" sId="28" odxf="1" dxf="1" numFmtId="4">
    <nc r="F19">
      <v>636.29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9" start="0" length="0">
    <dxf>
      <font>
        <sz val="11"/>
        <color rgb="FF0000FF"/>
        <name val="Arial Narrow"/>
        <scheme val="none"/>
      </font>
      <fill>
        <patternFill patternType="solid">
          <bgColor theme="0"/>
        </patternFill>
      </fill>
      <alignment vertical="center" readingOrder="0"/>
    </dxf>
  </rfmt>
  <rcc rId="7834" sId="28" odxf="1" dxf="1">
    <nc r="A20" t="inlineStr">
      <is>
        <r>
          <t>Финишный профиль (Шоколад, Гранат</t>
        </r>
        <r>
          <rPr>
            <sz val="11"/>
            <rFont val="Arial Narrow"/>
            <family val="2"/>
            <charset val="204"/>
          </rPr>
          <t>)</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35" sId="28" odxf="1" dxf="1">
    <nc r="B20">
      <v>60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0" start="0" length="0">
    <dxf>
      <font>
        <sz val="11"/>
        <color auto="1"/>
        <name val="Arial Narrow"/>
        <scheme val="none"/>
      </font>
      <numFmt numFmtId="2" formatCode="0.00"/>
      <fill>
        <patternFill patternType="solid">
          <bgColor theme="0"/>
        </patternFill>
      </fill>
      <alignment horizontal="center" vertical="center" readingOrder="0"/>
    </dxf>
  </rfmt>
  <rcc rId="7836" sId="28" odxf="1" dxf="1" numFmtId="4">
    <nc r="D20">
      <v>195.17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7" sId="28" odxf="1" dxf="1" numFmtId="4">
    <nc r="E20">
      <v>218.13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8" sId="28" odxf="1" dxf="1" numFmtId="4">
    <nc r="F20">
      <v>229.61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0" start="0" length="0">
    <dxf>
      <font>
        <sz val="11"/>
        <color rgb="FF0000FF"/>
        <name val="Arial Narrow"/>
        <scheme val="none"/>
      </font>
      <fill>
        <patternFill patternType="solid">
          <bgColor theme="0"/>
        </patternFill>
      </fill>
      <alignment vertical="center" readingOrder="0"/>
    </dxf>
  </rfmt>
  <rcc rId="7839" sId="28" odxf="1" dxf="1">
    <nc r="A21" t="inlineStr">
      <is>
        <t>Финишный профиль  (все цвета, кроме  Шоколад, Гранат,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40" sId="28" odxf="1" dxf="1">
    <nc r="B21">
      <v>60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1" start="0" length="0">
    <dxf>
      <font>
        <sz val="11"/>
        <color auto="1"/>
        <name val="Arial Narrow"/>
        <scheme val="none"/>
      </font>
      <numFmt numFmtId="2" formatCode="0.00"/>
      <fill>
        <patternFill patternType="solid">
          <bgColor theme="0"/>
        </patternFill>
      </fill>
      <alignment horizontal="center" vertical="center" readingOrder="0"/>
    </dxf>
  </rfmt>
  <rcc rId="7841" sId="28" odxf="1" dxf="1" numFmtId="4">
    <nc r="D21">
      <v>146.57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2" sId="28" odxf="1" dxf="1" numFmtId="4">
    <nc r="E21">
      <v>185.66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3" sId="28" odxf="1" dxf="1" numFmtId="4">
    <nc r="F21">
      <v>229.61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1" start="0" length="0">
    <dxf>
      <font>
        <sz val="11"/>
        <color rgb="FF0000FF"/>
        <name val="Arial Narrow"/>
        <scheme val="none"/>
      </font>
      <fill>
        <patternFill patternType="solid">
          <bgColor theme="0"/>
        </patternFill>
      </fill>
      <alignment vertical="center" readingOrder="0"/>
    </dxf>
  </rfmt>
  <rcc rId="7844" sId="28" odxf="1" dxf="1">
    <nc r="A22" t="inlineStr">
      <is>
        <t>Н-профиль (все цвета, кроме Шоколад, Гранат, Ирис, Пралине,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45" sId="28" odxf="1" dxf="1">
    <nc r="B22">
      <v>45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2" start="0" length="0">
    <dxf>
      <font>
        <sz val="11"/>
        <color auto="1"/>
        <name val="Arial Narrow"/>
        <scheme val="none"/>
      </font>
      <numFmt numFmtId="2" formatCode="0.00"/>
      <fill>
        <patternFill patternType="solid">
          <bgColor theme="0"/>
        </patternFill>
      </fill>
      <alignment horizontal="center" vertical="center" readingOrder="0"/>
    </dxf>
  </rfmt>
  <rcc rId="7846" sId="28" odxf="1" dxf="1" numFmtId="4">
    <nc r="D22">
      <v>325.98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7" sId="28" odxf="1" dxf="1" numFmtId="4">
    <nc r="E22">
      <v>412.91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8" sId="28" odxf="1" dxf="1" numFmtId="4">
    <nc r="F22">
      <v>434.64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2" start="0" length="0">
    <dxf>
      <font>
        <sz val="11"/>
        <color rgb="FF0000FF"/>
        <name val="Arial Narrow"/>
        <scheme val="none"/>
      </font>
      <fill>
        <patternFill patternType="solid">
          <bgColor theme="0"/>
        </patternFill>
      </fill>
      <alignment vertical="center" readingOrder="0"/>
    </dxf>
  </rfmt>
  <rcc rId="7849" sId="28" odxf="1" dxf="1">
    <nc r="A23" t="inlineStr">
      <is>
        <t>Н-профиль (Шоколад, Гранат,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50" sId="28" odxf="1" dxf="1">
    <nc r="B23">
      <v>45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3" start="0" length="0">
    <dxf>
      <font>
        <sz val="11"/>
        <color auto="1"/>
        <name val="Arial Narrow"/>
        <scheme val="none"/>
      </font>
      <numFmt numFmtId="2" formatCode="0.00"/>
      <fill>
        <patternFill patternType="solid">
          <bgColor theme="0"/>
        </patternFill>
      </fill>
      <alignment horizontal="center" vertical="center" readingOrder="0"/>
    </dxf>
  </rfmt>
  <rcc rId="7851" sId="28" odxf="1" dxf="1" numFmtId="4">
    <nc r="D23">
      <v>506.73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2" sId="28" odxf="1" dxf="1" numFmtId="4">
    <nc r="E23">
      <v>566.35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3" sId="28" odxf="1" dxf="1" numFmtId="4">
    <nc r="F23">
      <v>596.16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3" start="0" length="0">
    <dxf>
      <font>
        <sz val="11"/>
        <color rgb="FF0000FF"/>
        <name val="Arial Narrow"/>
        <scheme val="none"/>
      </font>
      <fill>
        <patternFill patternType="solid">
          <bgColor theme="0"/>
        </patternFill>
      </fill>
      <alignment vertical="center" readingOrder="0"/>
    </dxf>
  </rfmt>
  <rcc rId="7854" sId="28" odxf="1" dxf="1">
    <nc r="A24" t="inlineStr">
      <is>
        <t>Стартовый профиль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55" sId="28" odxf="1" dxf="1">
    <nc r="B24">
      <v>50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4" start="0" length="0">
    <dxf>
      <font>
        <sz val="11"/>
        <color auto="1"/>
        <name val="Arial Narrow"/>
        <scheme val="none"/>
      </font>
      <numFmt numFmtId="2" formatCode="0.00"/>
      <fill>
        <patternFill patternType="solid">
          <bgColor theme="0"/>
        </patternFill>
      </fill>
      <alignment horizontal="center" vertical="center" readingOrder="0"/>
    </dxf>
  </rfmt>
  <rcc rId="7856" sId="28" odxf="1" dxf="1" numFmtId="4">
    <nc r="D24">
      <v>93.19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7" sId="28" odxf="1" dxf="1" numFmtId="4">
    <nc r="E24">
      <v>118.04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8" sId="28" odxf="1" dxf="1" numFmtId="4">
    <nc r="F24">
      <v>124.25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4" start="0" length="0">
    <dxf>
      <font>
        <sz val="11"/>
        <color rgb="FF0000FF"/>
        <name val="Arial Narrow"/>
        <scheme val="none"/>
      </font>
      <fill>
        <patternFill patternType="solid">
          <bgColor theme="0"/>
        </patternFill>
      </fill>
      <alignment vertical="center" readingOrder="0"/>
    </dxf>
  </rfmt>
  <rcc rId="7859" sId="28" odxf="1" dxf="1">
    <nc r="A25" t="inlineStr">
      <is>
        <t>Внешний угол (все цвета, кроме Шоколад, Гранат,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60" sId="28" odxf="1" dxf="1">
    <nc r="B25">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5" start="0" length="0">
    <dxf>
      <font>
        <sz val="11"/>
        <color auto="1"/>
        <name val="Arial Narrow"/>
        <scheme val="none"/>
      </font>
      <numFmt numFmtId="2" formatCode="0.00"/>
      <fill>
        <patternFill patternType="solid">
          <bgColor theme="0"/>
        </patternFill>
      </fill>
      <alignment horizontal="center" vertical="center" readingOrder="0"/>
    </dxf>
  </rfmt>
  <rcc rId="7861" sId="28" odxf="1" dxf="1" numFmtId="4">
    <nc r="D25">
      <v>364.15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2" sId="28" odxf="1" dxf="1" numFmtId="4">
    <nc r="E25">
      <v>461.26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3" sId="28" odxf="1" dxf="1" numFmtId="4">
    <nc r="F25">
      <v>485.54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5" start="0" length="0">
    <dxf>
      <font>
        <sz val="11"/>
        <color rgb="FF0000FF"/>
        <name val="Arial Narrow"/>
        <scheme val="none"/>
      </font>
      <fill>
        <patternFill patternType="solid">
          <bgColor theme="0"/>
        </patternFill>
      </fill>
      <alignment vertical="center" readingOrder="0"/>
    </dxf>
  </rfmt>
  <rcc rId="7864" sId="28" odxf="1" dxf="1">
    <nc r="A26" t="inlineStr">
      <is>
        <t>Внешний угол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65" sId="28" odxf="1" dxf="1">
    <nc r="B26">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6" start="0" length="0">
    <dxf>
      <font>
        <sz val="11"/>
        <color auto="1"/>
        <name val="Arial Narrow"/>
        <scheme val="none"/>
      </font>
      <numFmt numFmtId="2" formatCode="0.00"/>
      <fill>
        <patternFill patternType="solid">
          <bgColor theme="0"/>
        </patternFill>
      </fill>
      <alignment horizontal="center" vertical="center" readingOrder="0"/>
    </dxf>
  </rfmt>
  <rcc rId="7866" sId="28" odxf="1" dxf="1" numFmtId="4">
    <nc r="D26">
      <v>578.28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7" sId="28" odxf="1" dxf="1" numFmtId="4">
    <nc r="E26">
      <v>646.32000000000005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8" sId="28" odxf="1" dxf="1" numFmtId="4">
    <nc r="F26">
      <v>680.33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6" start="0" length="0">
    <dxf>
      <font>
        <sz val="11"/>
        <color rgb="FF0000FF"/>
        <name val="Arial Narrow"/>
        <scheme val="none"/>
      </font>
      <fill>
        <patternFill patternType="solid">
          <bgColor theme="0"/>
        </patternFill>
      </fill>
      <alignment vertical="center" readingOrder="0"/>
    </dxf>
  </rfmt>
  <rcc rId="7869" sId="28" odxf="1" dxf="1">
    <nc r="A27" t="inlineStr">
      <is>
        <t>Внутренний угол (все цвета, кроме Шоколад, Гранат,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70" sId="28" odxf="1" dxf="1">
    <nc r="B27">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7" start="0" length="0">
    <dxf>
      <font>
        <sz val="11"/>
        <color auto="1"/>
        <name val="Arial Narrow"/>
        <scheme val="none"/>
      </font>
      <numFmt numFmtId="2" formatCode="0.00"/>
      <fill>
        <patternFill patternType="solid">
          <bgColor theme="0"/>
        </patternFill>
      </fill>
      <alignment horizontal="center" vertical="center" readingOrder="0"/>
    </dxf>
  </rfmt>
  <rcc rId="7871" sId="28" odxf="1" dxf="1" numFmtId="4">
    <nc r="D27">
      <v>279.63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2" sId="28" odxf="1" dxf="1" numFmtId="4">
    <nc r="E27">
      <v>354.2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3" sId="28" odxf="1" dxf="1" numFmtId="4">
    <nc r="F27">
      <v>372.84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7" start="0" length="0">
    <dxf>
      <font>
        <sz val="11"/>
        <color rgb="FF0000FF"/>
        <name val="Arial Narrow"/>
        <scheme val="none"/>
      </font>
      <fill>
        <patternFill patternType="solid">
          <bgColor theme="0"/>
        </patternFill>
      </fill>
      <alignment vertical="center" readingOrder="0"/>
    </dxf>
  </rfmt>
  <rcc rId="7874" sId="28" odxf="1" dxf="1">
    <nc r="A28" t="inlineStr">
      <is>
        <t>Внутренний угол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75" sId="28" odxf="1" dxf="1">
    <nc r="B28">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8" start="0" length="0">
    <dxf>
      <font>
        <sz val="11"/>
        <color auto="1"/>
        <name val="Arial Narrow"/>
        <scheme val="none"/>
      </font>
      <numFmt numFmtId="2" formatCode="0.00"/>
      <fill>
        <patternFill patternType="solid">
          <bgColor theme="0"/>
        </patternFill>
      </fill>
      <alignment horizontal="center" vertical="center" readingOrder="0"/>
    </dxf>
  </rfmt>
  <rcc rId="7876" sId="28" odxf="1" dxf="1" numFmtId="4">
    <nc r="D28">
      <v>479.91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7" sId="28" odxf="1" dxf="1" numFmtId="4">
    <nc r="E28">
      <v>556.48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8" sId="28" odxf="1" dxf="1" numFmtId="4">
    <nc r="F28">
      <v>585.77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8" start="0" length="0">
    <dxf>
      <font>
        <sz val="11"/>
        <color rgb="FF0000FF"/>
        <name val="Arial Narrow"/>
        <scheme val="none"/>
      </font>
      <fill>
        <patternFill patternType="solid">
          <bgColor theme="0"/>
        </patternFill>
      </fill>
      <alignment vertical="center" readingOrder="0"/>
    </dxf>
  </rfmt>
  <rcc rId="7879" sId="28" odxf="1" dxf="1">
    <nc r="A29" t="inlineStr">
      <is>
        <t>Наличник 75 мм.(Пломбир)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80" sId="28" odxf="1" dxf="1">
    <nc r="B29">
      <v>30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9" start="0" length="0">
    <dxf>
      <font>
        <sz val="11"/>
        <color auto="1"/>
        <name val="Arial Narrow"/>
        <scheme val="none"/>
      </font>
      <numFmt numFmtId="2" formatCode="0.00"/>
      <fill>
        <patternFill patternType="solid">
          <bgColor theme="0"/>
        </patternFill>
      </fill>
      <alignment horizontal="center" vertical="center" readingOrder="0"/>
    </dxf>
  </rfmt>
  <rcc rId="7881" sId="28" odxf="1" dxf="1" numFmtId="4">
    <nc r="D29">
      <v>365.33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2" sId="28" odxf="1" dxf="1" numFmtId="4">
    <nc r="E29">
      <v>462.75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3" sId="28" odxf="1" dxf="1" numFmtId="4">
    <nc r="F29">
      <v>487.11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9" start="0" length="0">
    <dxf>
      <font>
        <sz val="11"/>
        <color rgb="FF0000FF"/>
        <name val="Arial Narrow"/>
        <scheme val="none"/>
      </font>
      <fill>
        <patternFill patternType="solid">
          <bgColor theme="0"/>
        </patternFill>
      </fill>
      <alignment vertical="center" readingOrder="0"/>
    </dxf>
  </rfmt>
  <rcc rId="7884" sId="28" odxf="1" dxf="1">
    <nc r="A30" t="inlineStr">
      <is>
        <t>Наличник 89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85" sId="28" odxf="1" dxf="1">
    <nc r="B30">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0" start="0" length="0">
    <dxf>
      <font>
        <sz val="11"/>
        <color auto="1"/>
        <name val="Arial Narrow"/>
        <scheme val="none"/>
      </font>
      <numFmt numFmtId="2" formatCode="0.00"/>
      <fill>
        <patternFill patternType="solid">
          <bgColor theme="0"/>
        </patternFill>
      </fill>
      <alignment horizontal="center" vertical="center" readingOrder="0"/>
    </dxf>
  </rfmt>
  <rcc rId="7886" sId="28" odxf="1" dxf="1" numFmtId="4">
    <nc r="D30">
      <v>305.77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7" sId="28" odxf="1" dxf="1" numFmtId="4">
    <nc r="E30">
      <v>387.31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8" sId="28" odxf="1" dxf="1" numFmtId="4">
    <nc r="F30">
      <v>407.7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0" start="0" length="0">
    <dxf>
      <font>
        <sz val="11"/>
        <color rgb="FF0000FF"/>
        <name val="Arial Narrow"/>
        <scheme val="none"/>
      </font>
      <fill>
        <patternFill patternType="solid">
          <bgColor theme="0"/>
        </patternFill>
      </fill>
      <alignment vertical="center" readingOrder="0"/>
    </dxf>
  </rfmt>
  <rcc rId="7889" sId="28" odxf="1" dxf="1">
    <nc r="A31" t="inlineStr">
      <is>
        <t>Наличник 89 мм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90" sId="28" odxf="1" dxf="1">
    <nc r="B31">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1" start="0" length="0">
    <dxf>
      <font>
        <sz val="11"/>
        <color auto="1"/>
        <name val="Arial Narrow"/>
        <scheme val="none"/>
      </font>
      <numFmt numFmtId="2" formatCode="0.00"/>
      <fill>
        <patternFill patternType="solid">
          <bgColor theme="0"/>
        </patternFill>
      </fill>
      <alignment horizontal="center" vertical="center" readingOrder="0"/>
    </dxf>
  </rfmt>
  <rcc rId="7891" sId="28" odxf="1" dxf="1" numFmtId="4">
    <nc r="D31">
      <v>551.66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2" sId="28" odxf="1" dxf="1" numFmtId="4">
    <nc r="E31">
      <v>616.57000000000005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3" sId="28" odxf="1" dxf="1" numFmtId="4">
    <nc r="F31">
      <v>649.02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1" start="0" length="0">
    <dxf>
      <font>
        <sz val="11"/>
        <color rgb="FF0000FF"/>
        <name val="Arial Narrow"/>
        <scheme val="none"/>
      </font>
      <fill>
        <patternFill patternType="solid">
          <bgColor theme="0"/>
        </patternFill>
      </fill>
      <alignment vertical="center" readingOrder="0"/>
    </dxf>
  </rfmt>
  <rcc rId="7894" sId="28" odxf="1" dxf="1">
    <nc r="A32" t="inlineStr">
      <is>
        <t>Откос 254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95" sId="28" odxf="1" dxf="1">
    <nc r="B32">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2" start="0" length="0">
    <dxf>
      <font>
        <sz val="11"/>
        <color auto="1"/>
        <name val="Arial Narrow"/>
        <scheme val="none"/>
      </font>
      <numFmt numFmtId="2" formatCode="0.00"/>
      <fill>
        <patternFill patternType="solid">
          <bgColor theme="0"/>
        </patternFill>
      </fill>
      <alignment horizontal="center" vertical="center" readingOrder="0"/>
    </dxf>
  </rfmt>
  <rcc rId="7896" sId="28" odxf="1" dxf="1" numFmtId="4">
    <nc r="D32">
      <v>431.14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7" sId="28" odxf="1" dxf="1" numFmtId="4">
    <nc r="E32">
      <v>546.11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8" sId="28" odxf="1" dxf="1" numFmtId="4">
    <nc r="F32">
      <v>574.86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2" start="0" length="0">
    <dxf>
      <font>
        <sz val="11"/>
        <color rgb="FF0000FF"/>
        <name val="Arial Narrow"/>
        <scheme val="none"/>
      </font>
      <fill>
        <patternFill patternType="solid">
          <bgColor theme="0"/>
        </patternFill>
      </fill>
      <alignment vertical="center" readingOrder="0"/>
    </dxf>
  </rfmt>
  <rcc rId="7899" sId="28" odxf="1" dxf="1">
    <nc r="A33" t="inlineStr">
      <is>
        <t>Откос 254 мм.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00" sId="28" odxf="1" dxf="1">
    <nc r="B33">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3" start="0" length="0">
    <dxf>
      <font>
        <sz val="11"/>
        <color auto="1"/>
        <name val="Arial Narrow"/>
        <scheme val="none"/>
      </font>
      <numFmt numFmtId="2" formatCode="0.00"/>
      <fill>
        <patternFill patternType="solid">
          <bgColor theme="0"/>
        </patternFill>
      </fill>
      <alignment horizontal="center" vertical="center" readingOrder="0"/>
    </dxf>
  </rfmt>
  <rcc rId="7901" sId="28" odxf="1" dxf="1" numFmtId="4">
    <nc r="D33">
      <v>651.05999999999995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2" sId="28" odxf="1" dxf="1" numFmtId="4">
    <nc r="E33">
      <v>727.65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3" sId="28" odxf="1" dxf="1" numFmtId="4">
    <nc r="F33">
      <v>765.95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3" start="0" length="0">
    <dxf>
      <font>
        <sz val="11"/>
        <color rgb="FF0000FF"/>
        <name val="Arial Narrow"/>
        <scheme val="none"/>
      </font>
      <fill>
        <patternFill patternType="solid">
          <bgColor theme="0"/>
        </patternFill>
      </fill>
      <alignment vertical="center" readingOrder="0"/>
    </dxf>
  </rfmt>
  <rcc rId="7904" sId="28" odxf="1" dxf="1">
    <nc r="A34" t="inlineStr">
      <is>
        <t>J-фаска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05" sId="28" odxf="1" dxf="1">
    <nc r="B34">
      <v>20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4" start="0" length="0">
    <dxf>
      <font>
        <sz val="11"/>
        <color auto="1"/>
        <name val="Arial Narrow"/>
        <scheme val="none"/>
      </font>
      <numFmt numFmtId="2" formatCode="0.00"/>
      <fill>
        <patternFill patternType="solid">
          <bgColor theme="0"/>
        </patternFill>
      </fill>
      <alignment horizontal="center" vertical="center" readingOrder="0"/>
    </dxf>
  </rfmt>
  <rcc rId="7906" sId="28" odxf="1" dxf="1" numFmtId="4">
    <nc r="D34">
      <v>373.85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7" sId="28" odxf="1" dxf="1" numFmtId="4">
    <nc r="E34">
      <v>473.54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8" sId="28" odxf="1" dxf="1" numFmtId="4">
    <nc r="F34">
      <v>498.46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4" start="0" length="0">
    <dxf>
      <font>
        <sz val="11"/>
        <color rgb="FF0000FF"/>
        <name val="Arial Narrow"/>
        <scheme val="none"/>
      </font>
      <fill>
        <patternFill patternType="solid">
          <bgColor theme="0"/>
        </patternFill>
      </fill>
      <alignment vertical="center" readingOrder="0"/>
    </dxf>
  </rfmt>
  <rcc rId="7909" sId="28" odxf="1" dxf="1">
    <nc r="A35" t="inlineStr">
      <is>
        <t>J-фаска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10" sId="28" odxf="1" dxf="1">
    <nc r="B35">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5" start="0" length="0">
    <dxf>
      <font>
        <sz val="11"/>
        <color auto="1"/>
        <name val="Arial Narrow"/>
        <scheme val="none"/>
      </font>
      <numFmt numFmtId="2" formatCode="0.00"/>
      <fill>
        <patternFill patternType="solid">
          <bgColor theme="0"/>
        </patternFill>
      </fill>
      <alignment horizontal="center" vertical="center" readingOrder="0"/>
    </dxf>
  </rfmt>
  <rcc rId="7911" sId="28" odxf="1" dxf="1" numFmtId="4">
    <nc r="D35">
      <v>678.63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2" sId="28" odxf="1" dxf="1" numFmtId="4">
    <nc r="E35">
      <v>758.47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3" sId="28" odxf="1" dxf="1" numFmtId="4">
    <nc r="F35">
      <v>798.39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5" start="0" length="0">
    <dxf>
      <font>
        <sz val="11"/>
        <color rgb="FF0000FF"/>
        <name val="Arial Narrow"/>
        <scheme val="none"/>
      </font>
      <fill>
        <patternFill patternType="solid">
          <bgColor theme="0"/>
        </patternFill>
      </fill>
      <alignment vertical="center" readingOrder="0"/>
    </dxf>
  </rfmt>
  <rcc rId="7914" sId="28" odxf="1" dxf="1">
    <nc r="A36" t="inlineStr">
      <is>
        <t>J-профиль  (все цвета, кроме Шоколад, Гранат, Ирис, Пралине,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15" sId="28" odxf="1" dxf="1">
    <nc r="B36">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6" start="0" length="0">
    <dxf>
      <font>
        <sz val="11"/>
        <color auto="1"/>
        <name val="Arial Narrow"/>
        <scheme val="none"/>
      </font>
      <numFmt numFmtId="2" formatCode="0.00"/>
      <fill>
        <patternFill patternType="solid">
          <bgColor theme="0"/>
        </patternFill>
      </fill>
      <alignment horizontal="center" vertical="center" readingOrder="0"/>
    </dxf>
  </rfmt>
  <rcc rId="7916" sId="28" odxf="1" dxf="1" numFmtId="4">
    <nc r="D36">
      <v>120.03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7" sId="28" odxf="1" dxf="1" numFmtId="4">
    <nc r="E36">
      <v>152.03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8" sId="28" odxf="1" dxf="1" numFmtId="4">
    <nc r="F36">
      <v>160.04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6" start="0" length="0">
    <dxf>
      <font>
        <sz val="11"/>
        <color rgb="FF0000FF"/>
        <name val="Arial Narrow"/>
        <scheme val="none"/>
      </font>
      <fill>
        <patternFill patternType="solid">
          <bgColor theme="0"/>
        </patternFill>
      </fill>
      <alignment vertical="center" readingOrder="0"/>
    </dxf>
  </rfmt>
  <rcc rId="7919" sId="28" odxf="1" dxf="1">
    <nc r="A37" t="inlineStr">
      <is>
        <t>J-профиль (Шоколад, Гранат,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20" sId="28" odxf="1" dxf="1">
    <nc r="B37">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7" start="0" length="0">
    <dxf>
      <font>
        <sz val="11"/>
        <color auto="1"/>
        <name val="Arial Narrow"/>
        <scheme val="none"/>
      </font>
      <numFmt numFmtId="2" formatCode="0.00"/>
      <fill>
        <patternFill patternType="solid">
          <bgColor theme="0"/>
        </patternFill>
      </fill>
      <alignment horizontal="center" vertical="center" readingOrder="0"/>
    </dxf>
  </rfmt>
  <rcc rId="7921" sId="28" odxf="1" dxf="1" numFmtId="4">
    <nc r="D37">
      <v>212.02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2" sId="28" odxf="1" dxf="1" numFmtId="4">
    <nc r="E37">
      <v>236.97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3" sId="28" odxf="1" dxf="1" numFmtId="4">
    <nc r="F37">
      <v>249.44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7" start="0" length="0">
    <dxf>
      <font>
        <sz val="11"/>
        <color rgb="FF0000FF"/>
        <name val="Arial Narrow"/>
        <scheme val="none"/>
      </font>
      <fill>
        <patternFill patternType="solid">
          <bgColor theme="0"/>
        </patternFill>
      </fill>
      <alignment vertical="center" readingOrder="0"/>
    </dxf>
  </rfmt>
  <rcc rId="7924" sId="28" odxf="1" dxf="1">
    <nc r="A38" t="inlineStr">
      <is>
        <t xml:space="preserve"> Молдинг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25" sId="28" odxf="1" dxf="1">
    <nc r="B38">
      <v>50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8" start="0" length="0">
    <dxf>
      <font>
        <sz val="11"/>
        <color auto="1"/>
        <name val="Arial Narrow"/>
        <scheme val="none"/>
      </font>
      <numFmt numFmtId="2" formatCode="0.00"/>
      <fill>
        <patternFill patternType="solid">
          <bgColor theme="0"/>
        </patternFill>
      </fill>
      <alignment horizontal="center" vertical="center" readingOrder="0"/>
    </dxf>
  </rfmt>
  <rcc rId="7926" sId="28" odxf="1" dxf="1" numFmtId="4">
    <nc r="D38">
      <v>267.23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7" sId="28" odxf="1" dxf="1" numFmtId="4">
    <nc r="E38">
      <v>338.61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8" sId="28" odxf="1" dxf="1" numFmtId="4">
    <nc r="F38">
      <v>356.43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8" start="0" length="0">
    <dxf>
      <font>
        <sz val="11"/>
        <color rgb="FF0000FF"/>
        <name val="Arial Narrow"/>
        <scheme val="none"/>
      </font>
      <fill>
        <patternFill patternType="solid">
          <bgColor theme="0"/>
        </patternFill>
      </fill>
      <alignment vertical="center" readingOrder="0"/>
    </dxf>
  </rfmt>
  <rcc rId="7929" sId="28" odxf="1" dxf="1">
    <nc r="A39" t="inlineStr">
      <is>
        <t>Молдинг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30" sId="28" odxf="1" dxf="1">
    <nc r="B39">
      <v>50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9" start="0" length="0">
    <dxf>
      <font>
        <sz val="11"/>
        <color auto="1"/>
        <name val="Arial Narrow"/>
        <scheme val="none"/>
      </font>
      <numFmt numFmtId="2" formatCode="0.00"/>
      <fill>
        <patternFill patternType="solid">
          <bgColor theme="0"/>
        </patternFill>
      </fill>
      <alignment horizontal="center" vertical="center" readingOrder="0"/>
    </dxf>
  </rfmt>
  <rcc rId="7931" sId="28" odxf="1" dxf="1" numFmtId="4">
    <nc r="D39">
      <v>410.94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2" sId="28" odxf="1" dxf="1" numFmtId="4">
    <nc r="E39">
      <v>459.29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3" sId="28" odxf="1" dxf="1" numFmtId="4">
    <nc r="F39">
      <v>483.46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9" start="0" length="0">
    <dxf>
      <font>
        <sz val="11"/>
        <color rgb="FF0000FF"/>
        <name val="Arial Narrow"/>
        <scheme val="none"/>
      </font>
      <fill>
        <patternFill patternType="solid">
          <bgColor theme="0"/>
        </patternFill>
      </fill>
      <alignment vertical="center" readingOrder="0"/>
    </dxf>
  </rfmt>
  <rcc rId="7934" sId="28" odxf="1" dxf="1">
    <nc r="A40" t="inlineStr">
      <is>
        <t>Отлив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35" sId="28" odxf="1" dxf="1">
    <nc r="B40">
      <v>40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0" start="0" length="0">
    <dxf>
      <font>
        <sz val="11"/>
        <color auto="1"/>
        <name val="Arial Narrow"/>
        <scheme val="none"/>
      </font>
      <numFmt numFmtId="2" formatCode="0.00"/>
      <fill>
        <patternFill patternType="solid">
          <bgColor theme="0"/>
        </patternFill>
      </fill>
      <alignment horizontal="center" vertical="center" readingOrder="0"/>
    </dxf>
  </rfmt>
  <rcc rId="7936" sId="28" odxf="1" dxf="1" numFmtId="4">
    <nc r="D40">
      <v>215.1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7" sId="28" odxf="1" dxf="1" numFmtId="4">
    <nc r="E40">
      <v>272.45999999999998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8" sId="28" odxf="1" dxf="1" numFmtId="4">
    <nc r="F40">
      <v>286.8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0" start="0" length="0">
    <dxf>
      <font>
        <sz val="11"/>
        <color rgb="FF0000FF"/>
        <name val="Arial Narrow"/>
        <scheme val="none"/>
      </font>
      <fill>
        <patternFill patternType="solid">
          <bgColor theme="0"/>
        </patternFill>
      </fill>
      <alignment vertical="center" readingOrder="0"/>
    </dxf>
  </rfmt>
  <rcc rId="7939" sId="28" odxf="1" dxf="1">
    <nc r="A41" t="inlineStr">
      <is>
        <t>Гибкий J-профиль (Пломбир, Шоколад)</t>
      </is>
    </nc>
    <odxf>
      <font>
        <sz val="11"/>
        <color theme="1"/>
        <name val="Calibri"/>
        <scheme val="minor"/>
      </font>
      <fill>
        <patternFill patternType="none">
          <bgColor indexed="65"/>
        </patternFill>
      </fill>
      <alignment horizontal="general" vertical="bottom" readingOrder="0"/>
      <border outline="0">
        <left/>
        <right/>
        <top/>
        <bottom/>
      </border>
    </odxf>
    <ndxf>
      <font>
        <sz val="11"/>
        <color theme="1"/>
        <name val="Arial Narrow"/>
        <scheme val="none"/>
      </font>
      <fill>
        <patternFill patternType="solid">
          <bgColor rgb="FFFF0000"/>
        </patternFill>
      </fill>
      <alignment horizontal="left" vertical="center" readingOrder="0"/>
      <border outline="0">
        <left style="thin">
          <color indexed="64"/>
        </left>
        <right style="thin">
          <color indexed="64"/>
        </right>
        <top style="thin">
          <color indexed="64"/>
        </top>
        <bottom style="thin">
          <color indexed="64"/>
        </bottom>
      </border>
    </ndxf>
  </rcc>
  <rcc rId="7940" sId="28" odxf="1" dxf="1">
    <nc r="B41">
      <v>5</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theme="1"/>
        <name val="Arial Narrow"/>
        <scheme val="none"/>
      </font>
      <fill>
        <patternFill patternType="solid">
          <bgColor rgb="FFFF0000"/>
        </patternFill>
      </fill>
      <alignment horizontal="center" vertical="center" readingOrder="0"/>
      <border outline="0">
        <left style="thin">
          <color indexed="64"/>
        </left>
        <right style="thin">
          <color indexed="64"/>
        </right>
        <top style="thin">
          <color indexed="64"/>
        </top>
        <bottom style="thin">
          <color indexed="64"/>
        </bottom>
      </border>
    </ndxf>
  </rcc>
  <rfmt sheetId="28" sqref="C41" start="0" length="0">
    <dxf>
      <font>
        <sz val="11"/>
        <color theme="1"/>
        <name val="Arial Narrow"/>
        <scheme val="none"/>
      </font>
      <numFmt numFmtId="2" formatCode="0.00"/>
      <fill>
        <patternFill patternType="solid">
          <bgColor rgb="FFFF0000"/>
        </patternFill>
      </fill>
      <alignment horizontal="center" vertical="center" readingOrder="0"/>
    </dxf>
  </rfmt>
  <rcc rId="7941" sId="28" odxf="1" dxf="1" numFmtId="4">
    <nc r="D41">
      <v>1408.88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theme="1"/>
        <name val="Arial Narrow"/>
        <scheme val="none"/>
      </font>
      <numFmt numFmtId="168" formatCode="#,##0.00&quot;р.&quot;"/>
      <fill>
        <patternFill patternType="solid">
          <bgColor rgb="FFFF0000"/>
        </patternFill>
      </fill>
      <alignment horizontal="right" vertical="center" readingOrder="0"/>
      <border outline="0">
        <left style="thin">
          <color indexed="64"/>
        </left>
        <right style="thin">
          <color indexed="64"/>
        </right>
        <bottom style="thin">
          <color indexed="64"/>
        </bottom>
      </border>
    </ndxf>
  </rcc>
  <rcc rId="7942" sId="28" odxf="1" dxf="1" numFmtId="4">
    <nc r="E41">
      <v>1784.58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theme="1"/>
        <name val="Arial Narrow"/>
        <scheme val="none"/>
      </font>
      <numFmt numFmtId="168" formatCode="#,##0.00&quot;р.&quot;"/>
      <fill>
        <patternFill patternType="solid">
          <bgColor rgb="FFFF0000"/>
        </patternFill>
      </fill>
      <alignment horizontal="right" vertical="center" readingOrder="0"/>
      <border outline="0">
        <left style="thin">
          <color indexed="64"/>
        </left>
        <right style="thin">
          <color indexed="64"/>
        </right>
        <bottom style="thin">
          <color indexed="64"/>
        </bottom>
      </border>
    </ndxf>
  </rcc>
  <rcc rId="7943" sId="28" odxf="1" dxf="1" numFmtId="4">
    <nc r="F41">
      <v>1878.5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theme="1"/>
        <name val="Arial Narrow"/>
        <scheme val="none"/>
      </font>
      <numFmt numFmtId="168" formatCode="#,##0.00&quot;р.&quot;"/>
      <fill>
        <patternFill patternType="solid">
          <bgColor rgb="FFFF0000"/>
        </patternFill>
      </fill>
      <alignment horizontal="right" vertical="center" readingOrder="0"/>
      <border outline="0">
        <left style="thin">
          <color indexed="64"/>
        </left>
        <right style="thin">
          <color indexed="64"/>
        </right>
        <bottom style="thin">
          <color indexed="64"/>
        </bottom>
      </border>
    </ndxf>
  </rcc>
  <rfmt sheetId="28" sqref="G41" start="0" length="0">
    <dxf>
      <font>
        <sz val="11"/>
        <color rgb="FF0000FF"/>
        <name val="Arial Narrow"/>
        <scheme val="none"/>
      </font>
      <fill>
        <patternFill patternType="solid">
          <bgColor theme="0"/>
        </patternFill>
      </fill>
      <alignment vertical="center" readingOrder="0"/>
    </dxf>
  </rfmt>
  <rfmt sheetId="28" sqref="A42" start="0" length="0">
    <dxf>
      <font>
        <sz val="11"/>
        <color theme="1"/>
        <name val="Arial Narrow"/>
        <scheme val="none"/>
      </font>
      <fill>
        <patternFill patternType="solid">
          <bgColor theme="0"/>
        </patternFill>
      </fill>
      <alignment vertical="center" readingOrder="0"/>
    </dxf>
  </rfmt>
  <rfmt sheetId="28" sqref="B42" start="0" length="0">
    <dxf>
      <font>
        <sz val="11"/>
        <color theme="1"/>
        <name val="Arial Narrow"/>
        <scheme val="none"/>
      </font>
      <fill>
        <patternFill patternType="solid">
          <bgColor theme="0"/>
        </patternFill>
      </fill>
      <alignment vertical="center" readingOrder="0"/>
    </dxf>
  </rfmt>
  <rfmt sheetId="28" sqref="C42" start="0" length="0">
    <dxf>
      <font>
        <sz val="11"/>
        <color auto="1"/>
        <name val="Arial Narrow"/>
        <scheme val="none"/>
      </font>
      <fill>
        <patternFill patternType="solid">
          <bgColor theme="0"/>
        </patternFill>
      </fill>
      <alignment vertical="center" readingOrder="0"/>
    </dxf>
  </rfmt>
  <rfmt sheetId="28" sqref="D42" start="0" length="0">
    <dxf>
      <font>
        <i/>
        <sz val="11"/>
        <color auto="1"/>
        <name val="Arial Narrow"/>
        <scheme val="none"/>
      </font>
      <numFmt numFmtId="13" formatCode="0%"/>
      <fill>
        <patternFill patternType="solid">
          <bgColor theme="0"/>
        </patternFill>
      </fill>
      <alignment vertical="center" readingOrder="0"/>
    </dxf>
  </rfmt>
  <rfmt sheetId="28" sqref="E42" start="0" length="0">
    <dxf>
      <font>
        <sz val="11"/>
        <color auto="1"/>
        <name val="Arial Narrow"/>
        <scheme val="none"/>
      </font>
      <numFmt numFmtId="13" formatCode="0%"/>
      <fill>
        <patternFill patternType="solid">
          <bgColor theme="0"/>
        </patternFill>
      </fill>
      <alignment vertical="center" readingOrder="0"/>
    </dxf>
  </rfmt>
  <rfmt sheetId="28" sqref="F42" start="0" length="0">
    <dxf>
      <font>
        <sz val="11"/>
        <color auto="1"/>
        <name val="Arial Narrow"/>
        <scheme val="none"/>
      </font>
      <numFmt numFmtId="13" formatCode="0%"/>
      <fill>
        <patternFill patternType="solid">
          <bgColor theme="0"/>
        </patternFill>
      </fill>
      <alignment vertical="center" readingOrder="0"/>
    </dxf>
  </rfmt>
  <rfmt sheetId="28" sqref="G42" start="0" length="0">
    <dxf>
      <font>
        <sz val="11"/>
        <color theme="1"/>
        <name val="Arial Narrow"/>
        <scheme val="none"/>
      </font>
      <fill>
        <patternFill patternType="solid">
          <bgColor theme="0"/>
        </patternFill>
      </fill>
      <alignment vertical="center" readingOrder="0"/>
    </dxf>
  </rfmt>
  <rcc rId="7944" sId="28" odxf="1" dxf="1">
    <nc r="A43" t="inlineStr">
      <is>
        <t>Döcke PREMIUM Аксессуары Акриловые</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945" sId="28" odxf="1" dxf="1">
    <nc r="B43"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43" start="0" length="0">
    <dxf>
      <font>
        <b/>
        <sz val="11"/>
        <color auto="1"/>
        <name val="Arial Narrow"/>
        <scheme val="none"/>
      </font>
      <numFmt numFmtId="2" formatCode="0.00"/>
      <fill>
        <patternFill patternType="solid">
          <bgColor theme="0"/>
        </patternFill>
      </fill>
      <alignment horizontal="center" vertical="center" readingOrder="0"/>
    </dxf>
  </rfmt>
  <rfmt sheetId="28" sqref="D43"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43" start="0" length="0">
    <dxf>
      <fill>
        <patternFill patternType="solid">
          <bgColor rgb="FFFFFF00"/>
        </patternFill>
      </fill>
      <alignment vertical="center" wrapText="1" readingOrder="0"/>
      <border outline="0">
        <top style="thin">
          <color indexed="64"/>
        </top>
        <bottom style="double">
          <color indexed="64"/>
        </bottom>
      </border>
    </dxf>
  </rfmt>
  <rfmt sheetId="28" sqref="F43"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43" start="0" length="0">
    <dxf>
      <font>
        <sz val="11"/>
        <color theme="1"/>
        <name val="Arial Narrow"/>
        <scheme val="none"/>
      </font>
      <fill>
        <patternFill patternType="solid">
          <bgColor theme="0"/>
        </patternFill>
      </fill>
      <alignment vertical="center" readingOrder="0"/>
    </dxf>
  </rfmt>
  <rcc rId="7946" sId="28" odxf="1" dxf="1">
    <nc r="A44" t="inlineStr">
      <is>
        <t>H-профиль (Ирис, Пралине)</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7947" sId="28" odxf="1" dxf="1">
    <nc r="B44">
      <v>45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4" start="0" length="0">
    <dxf>
      <font>
        <sz val="11"/>
        <color auto="1"/>
        <name val="Arial Narrow"/>
        <scheme val="none"/>
      </font>
      <numFmt numFmtId="2" formatCode="0.00"/>
      <fill>
        <patternFill patternType="solid">
          <bgColor theme="0"/>
        </patternFill>
      </fill>
      <alignment horizontal="center" vertical="center" readingOrder="0"/>
    </dxf>
  </rfmt>
  <rcc rId="7948" sId="28" odxf="1" dxf="1" numFmtId="4">
    <nc r="D44">
      <v>506.73</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949" sId="28" odxf="1" dxf="1" numFmtId="4">
    <nc r="E44">
      <v>566.35</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950" sId="28" odxf="1" dxf="1" numFmtId="4">
    <nc r="F44">
      <v>596.16</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fmt sheetId="28" sqref="G44" start="0" length="0">
    <dxf>
      <font>
        <sz val="11"/>
        <color rgb="FF0000FF"/>
        <name val="Arial Narrow"/>
        <scheme val="none"/>
      </font>
      <fill>
        <patternFill patternType="solid">
          <bgColor theme="0"/>
        </patternFill>
      </fill>
      <alignment vertical="center" readingOrder="0"/>
    </dxf>
  </rfmt>
  <rcc rId="7951" sId="28" odxf="1" dxf="1">
    <nc r="A45" t="inlineStr">
      <is>
        <t>J-профиль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52" sId="28" odxf="1" dxf="1">
    <nc r="B45">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5" start="0" length="0">
    <dxf>
      <font>
        <sz val="11"/>
        <color auto="1"/>
        <name val="Arial Narrow"/>
        <scheme val="none"/>
      </font>
      <numFmt numFmtId="2" formatCode="0.00"/>
      <fill>
        <patternFill patternType="solid">
          <bgColor theme="0"/>
        </patternFill>
      </fill>
      <alignment horizontal="center" vertical="center" readingOrder="0"/>
    </dxf>
  </rfmt>
  <rcc rId="7953" sId="28" odxf="1" dxf="1" numFmtId="4">
    <nc r="D45">
      <v>212.02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54" sId="28" odxf="1" dxf="1" numFmtId="4">
    <nc r="E45">
      <v>236.97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55" sId="28" odxf="1" dxf="1" numFmtId="4">
    <nc r="F45">
      <v>249.44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5" start="0" length="0">
    <dxf>
      <font>
        <sz val="11"/>
        <color rgb="FF0000FF"/>
        <name val="Arial Narrow"/>
        <scheme val="none"/>
      </font>
      <fill>
        <patternFill patternType="solid">
          <bgColor theme="0"/>
        </patternFill>
      </fill>
      <alignment vertical="center" readingOrder="0"/>
    </dxf>
  </rfmt>
  <rcc rId="7956" sId="28" odxf="1" dxf="1">
    <nc r="A46" t="inlineStr">
      <is>
        <t>Внешний угол (Ирис, Пралине)</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957" sId="28" odxf="1" dxf="1">
    <nc r="B46">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6" start="0" length="0">
    <dxf>
      <font>
        <sz val="11"/>
        <color auto="1"/>
        <name val="Arial Narrow"/>
        <scheme val="none"/>
      </font>
      <fill>
        <patternFill patternType="solid">
          <bgColor theme="0"/>
        </patternFill>
      </fill>
      <alignment vertical="center" readingOrder="0"/>
    </dxf>
  </rfmt>
  <rcc rId="7958" sId="28" odxf="1" dxf="1" numFmtId="4">
    <nc r="D46">
      <v>578.28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59" sId="28" odxf="1" dxf="1" numFmtId="4">
    <nc r="E46">
      <v>646.32000000000005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0" sId="28" odxf="1" dxf="1" numFmtId="4">
    <nc r="F46">
      <v>680.33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6" start="0" length="0">
    <dxf>
      <font>
        <sz val="11"/>
        <color theme="1"/>
        <name val="Arial Narrow"/>
        <scheme val="none"/>
      </font>
      <fill>
        <patternFill patternType="solid">
          <bgColor theme="0"/>
        </patternFill>
      </fill>
      <alignment vertical="center" readingOrder="0"/>
    </dxf>
  </rfmt>
  <rcc rId="7961" sId="28" odxf="1" dxf="1">
    <nc r="A47" t="inlineStr">
      <is>
        <t>Внутренний угол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62" sId="28" odxf="1" dxf="1">
    <nc r="B47">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7" start="0" length="0">
    <dxf>
      <font>
        <sz val="11"/>
        <color auto="1"/>
        <name val="Arial Narrow"/>
        <scheme val="none"/>
      </font>
      <numFmt numFmtId="2" formatCode="0.00"/>
      <fill>
        <patternFill patternType="solid">
          <bgColor theme="0"/>
        </patternFill>
      </fill>
      <alignment horizontal="center" vertical="center" readingOrder="0"/>
    </dxf>
  </rfmt>
  <rcc rId="7963" sId="28" odxf="1" dxf="1" numFmtId="4">
    <nc r="D47">
      <v>497.91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4" sId="28" odxf="1" dxf="1" numFmtId="4">
    <nc r="E47">
      <v>556.48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5" sId="28" odxf="1" dxf="1" numFmtId="4">
    <nc r="F47">
      <v>585.77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7" start="0" length="0">
    <dxf>
      <font>
        <sz val="11"/>
        <color rgb="FF0000FF"/>
        <name val="Arial Narrow"/>
        <scheme val="none"/>
      </font>
      <fill>
        <patternFill patternType="solid">
          <bgColor theme="0"/>
        </patternFill>
      </fill>
      <alignment vertical="center" readingOrder="0"/>
    </dxf>
  </rfmt>
  <rcc rId="7966" sId="28" odxf="1" dxf="1">
    <nc r="A48" t="inlineStr">
      <is>
        <t>Околооконный профиль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67" sId="28" odxf="1" dxf="1">
    <nc r="B48">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8" start="0" length="0">
    <dxf>
      <font>
        <sz val="11"/>
        <color auto="1"/>
        <name val="Arial Narrow"/>
        <scheme val="none"/>
      </font>
      <numFmt numFmtId="2" formatCode="0.00"/>
      <fill>
        <patternFill patternType="solid">
          <bgColor theme="0"/>
        </patternFill>
      </fill>
      <alignment horizontal="center" vertical="center" readingOrder="0"/>
    </dxf>
  </rfmt>
  <rcc rId="7968" sId="28" odxf="1" dxf="1" numFmtId="4">
    <nc r="D48">
      <v>742.63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9" sId="28" odxf="1" dxf="1" numFmtId="4">
    <nc r="E48">
      <v>830</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70" sId="28" odxf="1" dxf="1" numFmtId="4">
    <nc r="F48">
      <v>873.68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8" start="0" length="0">
    <dxf>
      <font>
        <sz val="11"/>
        <color rgb="FF0000FF"/>
        <name val="Arial Narrow"/>
        <scheme val="none"/>
      </font>
      <fill>
        <patternFill patternType="solid">
          <bgColor theme="0"/>
        </patternFill>
      </fill>
      <alignment vertical="center" readingOrder="0"/>
    </dxf>
  </rfmt>
  <rcc rId="7971" sId="28" odxf="1" dxf="1">
    <nc r="A49" t="inlineStr">
      <is>
        <t>Финишный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72" sId="28" odxf="1" dxf="1">
    <nc r="B49">
      <v>60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9" start="0" length="0">
    <dxf>
      <font>
        <sz val="11"/>
        <color auto="1"/>
        <name val="Arial Narrow"/>
        <scheme val="none"/>
      </font>
      <numFmt numFmtId="2" formatCode="0.00"/>
      <fill>
        <patternFill patternType="solid">
          <bgColor theme="0"/>
        </patternFill>
      </fill>
      <alignment horizontal="center" vertical="center" readingOrder="0"/>
    </dxf>
  </rfmt>
  <rcc rId="7973" sId="28" odxf="1" dxf="1" numFmtId="4">
    <nc r="D49">
      <v>195.17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74" sId="28" odxf="1" dxf="1" numFmtId="4">
    <nc r="E49">
      <v>218.13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75" sId="28" odxf="1" dxf="1" numFmtId="4">
    <nc r="F49">
      <v>229.61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9" start="0" length="0">
    <dxf>
      <font>
        <sz val="11"/>
        <color rgb="FF0000FF"/>
        <name val="Arial Narrow"/>
        <scheme val="none"/>
      </font>
      <fill>
        <patternFill patternType="solid">
          <bgColor theme="0"/>
        </patternFill>
      </fill>
      <alignment vertical="center" readingOrder="0"/>
    </dxf>
  </rfmt>
  <rfmt sheetId="28" sqref="A50" start="0" length="0">
    <dxf>
      <font>
        <b/>
        <sz val="12"/>
        <color auto="1"/>
        <name val="Arial Narrow"/>
        <scheme val="none"/>
      </font>
      <fill>
        <patternFill patternType="solid">
          <bgColor rgb="FFFFFF00"/>
        </patternFill>
      </fill>
      <alignment horizontal="left" vertical="center" readingOrder="0"/>
    </dxf>
  </rfmt>
  <rfmt sheetId="28" sqref="B50" start="0" length="0">
    <dxf>
      <font>
        <sz val="11"/>
        <color theme="1"/>
        <name val="Arial Narrow"/>
        <scheme val="none"/>
      </font>
      <fill>
        <patternFill patternType="solid">
          <bgColor theme="0"/>
        </patternFill>
      </fill>
      <alignment vertical="center" readingOrder="0"/>
    </dxf>
  </rfmt>
  <rfmt sheetId="28" sqref="C50" start="0" length="0">
    <dxf>
      <font>
        <sz val="11"/>
        <color auto="1"/>
        <name val="Arial Narrow"/>
        <scheme val="none"/>
      </font>
      <fill>
        <patternFill patternType="solid">
          <bgColor theme="0"/>
        </patternFill>
      </fill>
      <alignment vertical="center" readingOrder="0"/>
    </dxf>
  </rfmt>
  <rcc rId="7976" sId="28" odxf="1" dxf="1">
    <nc r="D50"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2"/>
        <color auto="1"/>
        <name val="Arial Narrow"/>
        <scheme val="none"/>
      </font>
      <fill>
        <patternFill patternType="solid">
          <bgColor rgb="FFFFFF00"/>
        </patternFill>
      </fill>
      <alignment horizontal="left" vertical="center" wrapText="1" readingOrder="0"/>
      <border outline="0">
        <top style="thin">
          <color indexed="64"/>
        </top>
      </border>
    </ndxf>
  </rcc>
  <rfmt sheetId="28" sqref="E50"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8" sqref="F50"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8" sqref="G50" start="0" length="0">
    <dxf>
      <font>
        <sz val="11"/>
        <color auto="1"/>
        <name val="Arial Narrow"/>
        <scheme val="none"/>
      </font>
      <fill>
        <patternFill patternType="solid">
          <bgColor theme="0"/>
        </patternFill>
      </fill>
      <alignment vertical="center" readingOrder="0"/>
    </dxf>
  </rfmt>
  <rfmt sheetId="28" sqref="A51" start="0" length="0">
    <dxf>
      <font>
        <b/>
        <sz val="11"/>
        <color theme="1"/>
        <name val="Arial Narrow"/>
        <scheme val="none"/>
      </font>
      <fill>
        <patternFill patternType="solid">
          <bgColor theme="8" tint="0.79998168889431442"/>
        </patternFill>
      </fill>
      <alignment vertical="center" readingOrder="0"/>
    </dxf>
  </rfmt>
  <rfmt sheetId="28" sqref="B51" start="0" length="0">
    <dxf>
      <font>
        <sz val="11"/>
        <color theme="1"/>
        <name val="Arial Narrow"/>
        <scheme val="none"/>
      </font>
      <fill>
        <patternFill patternType="solid">
          <bgColor theme="8" tint="0.79998168889431442"/>
        </patternFill>
      </fill>
      <alignment vertical="center" readingOrder="0"/>
    </dxf>
  </rfmt>
  <rfmt sheetId="28" sqref="C51" start="0" length="0">
    <dxf>
      <font>
        <sz val="11"/>
        <color auto="1"/>
        <name val="Arial Narrow"/>
        <scheme val="none"/>
      </font>
      <fill>
        <patternFill patternType="solid">
          <bgColor theme="8" tint="0.79998168889431442"/>
        </patternFill>
      </fill>
      <alignment vertical="center" readingOrder="0"/>
    </dxf>
  </rfmt>
  <rfmt sheetId="28" sqref="D51" start="0" length="0">
    <dxf>
      <font>
        <sz val="12"/>
        <color theme="1"/>
        <name val="Calibri"/>
        <scheme val="minor"/>
      </font>
      <alignment vertical="center" wrapText="1" readingOrder="0"/>
    </dxf>
  </rfmt>
  <rfmt sheetId="28" sqref="E51" start="0" length="0">
    <dxf>
      <font>
        <sz val="12"/>
        <color theme="1"/>
        <name val="Calibri"/>
        <scheme val="minor"/>
      </font>
      <alignment vertical="center" wrapText="1" readingOrder="0"/>
    </dxf>
  </rfmt>
  <rfmt sheetId="28" sqref="F51" start="0" length="0">
    <dxf>
      <font>
        <sz val="12"/>
        <color theme="1"/>
        <name val="Calibri"/>
        <scheme val="minor"/>
      </font>
      <alignment vertical="center" wrapText="1" readingOrder="0"/>
    </dxf>
  </rfmt>
  <rfmt sheetId="28" sqref="G51" start="0" length="0">
    <dxf>
      <font>
        <sz val="11"/>
        <color theme="1"/>
        <name val="Arial Narrow"/>
        <scheme val="none"/>
      </font>
      <fill>
        <patternFill patternType="solid">
          <bgColor theme="8" tint="0.79998168889431442"/>
        </patternFill>
      </fill>
      <alignment vertical="center" readingOrder="0"/>
    </dxf>
  </rfmt>
  <rfmt sheetId="28" sqref="B3" start="0" length="2147483647">
    <dxf>
      <font>
        <b/>
      </font>
    </dxf>
  </rfmt>
  <rcc rId="7977" sId="28" xfDxf="1" dxf="1">
    <nc r="A2" t="inlineStr">
      <is>
        <t>ООО "ЦЕНТР-ТИМ"   Платонов Иван 89536104242  centrtim57@mail.ru  28/03/19</t>
      </is>
    </nc>
  </rcc>
  <rfmt sheetId="28" sqref="A2" start="0" length="2147483647">
    <dxf>
      <font>
        <sz val="24"/>
      </font>
    </dxf>
  </rfmt>
  <rfmt sheetId="28" sqref="A2:F2" start="0" length="2147483647">
    <dxf>
      <font>
        <sz val="24"/>
      </font>
    </dxf>
  </rfmt>
  <rfmt sheetId="28" sqref="A2:F2">
    <dxf>
      <fill>
        <patternFill patternType="solid">
          <bgColor rgb="FF00B0F0"/>
        </patternFill>
      </fill>
    </dxf>
  </rfmt>
  <rrc rId="7978" sId="28" ref="A1:XFD1" action="deleteRow">
    <rfmt sheetId="28" xfDxf="1" sqref="A1:XFD1"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111.xml><?xml version="1.0" encoding="utf-8"?>
<revisions xmlns="http://schemas.openxmlformats.org/spreadsheetml/2006/main" xmlns:r="http://schemas.openxmlformats.org/officeDocument/2006/relationships">
  <rfmt sheetId="24" sqref="A1:E2">
    <dxf>
      <alignment wrapText="1" readingOrder="0"/>
    </dxf>
  </rfmt>
  <rfmt sheetId="24" sqref="C4:E4" start="0" length="2147483647">
    <dxf>
      <font>
        <b/>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4.xml><?xml version="1.0" encoding="utf-8"?>
<revisions xmlns="http://schemas.openxmlformats.org/spreadsheetml/2006/main" xmlns:r="http://schemas.openxmlformats.org/officeDocument/2006/relationships">
  <rcv guid="{CC6D6007-EFDE-464F-BD7C-A67043AC5D5C}" action="delete"/>
  <rdn rId="0" localSheetId="1" customView="1" name="Z_CC6D6007_EFDE_464F_BD7C_A67043AC5D5C_.wvu.PrintArea" hidden="1" oldHidden="1">
    <formula>'ЦЕНТР-ТИМ'!$A$1:$Q$208</formula>
    <oldFormula>'ЦЕНТР-ТИМ'!$A$1:$Q$208</oldFormula>
  </rdn>
  <rdn rId="0" localSheetId="2" customView="1" name="Z_CC6D6007_EFDE_464F_BD7C_A67043AC5D5C_.wvu.PrintArea" hidden="1" oldHidden="1">
    <formula>HotRock!$A$1:$P$31</formula>
    <oldFormula>HotRock!$A$1:$P$31</oldFormula>
  </rdn>
  <rdn rId="0" localSheetId="2" customView="1" name="Z_CC6D6007_EFDE_464F_BD7C_A67043AC5D5C_.wvu.Cols" hidden="1" oldHidden="1">
    <formula>HotRock!$L:$P</formula>
    <oldFormula>HotRock!$L:$P</oldFormula>
  </rdn>
  <rdn rId="0" localSheetId="3" customView="1" name="Z_CC6D6007_EFDE_464F_BD7C_A67043AC5D5C_.wvu.PrintArea" hidden="1" oldHidden="1">
    <formula>ISOROC!$A$1:$T$14</formula>
    <oldFormula>ISOROC!$A$1:$T$14</oldFormula>
  </rdn>
  <rdn rId="0" localSheetId="3" customView="1" name="Z_CC6D6007_EFDE_464F_BD7C_A67043AC5D5C_.wvu.Cols" hidden="1" oldHidden="1">
    <formula>ISOROC!$M:$T</formula>
    <oldFormula>ISOROC!$M:$T</oldFormula>
  </rdn>
  <rdn rId="0" localSheetId="4" customView="1" name="Z_CC6D6007_EFDE_464F_BD7C_A67043AC5D5C_.wvu.PrintArea" hidden="1" oldHidden="1">
    <formula>IZOVOL!$A$1:$L$20</formula>
    <oldFormula>IZOVOL!$A$1:$L$20</oldFormula>
  </rdn>
  <rdn rId="0" localSheetId="4" customView="1" name="Z_CC6D6007_EFDE_464F_BD7C_A67043AC5D5C_.wvu.Cols" hidden="1" oldHidden="1">
    <formula>IZOVOL!$H:$L</formula>
    <oldFormula>IZOVOL!$H:$L</oldFormula>
  </rdn>
  <rdn rId="0" localSheetId="5" customView="1" name="Z_CC6D6007_EFDE_464F_BD7C_A67043AC5D5C_.wvu.PrintArea" hidden="1" oldHidden="1">
    <formula>ROCKWOOL!$A$1:$H$36</formula>
    <oldFormula>ROCKWOOL!$A$1:$H$36</oldFormula>
  </rdn>
  <rdn rId="0" localSheetId="5" customView="1" name="Z_CC6D6007_EFDE_464F_BD7C_A67043AC5D5C_.wvu.Cols" hidden="1" oldHidden="1">
    <formula>ROCKWOOL!$G:$G</formula>
    <oldFormula>ROCKWOOL!$G:$G</oldFormula>
  </rdn>
  <rdn rId="0" localSheetId="6" customView="1" name="Z_CC6D6007_EFDE_464F_BD7C_A67043AC5D5C_.wvu.PrintArea" hidden="1" oldHidden="1">
    <formula>техноНИКОЛЬ!$A$1:$L$20</formula>
    <oldFormula>техноНИКОЛЬ!$A$1:$L$20</oldFormula>
  </rdn>
  <rdn rId="0" localSheetId="6" customView="1" name="Z_CC6D6007_EFDE_464F_BD7C_A67043AC5D5C_.wvu.Cols" hidden="1" oldHidden="1">
    <formula>техноНИКОЛЬ!$H:$L</formula>
    <oldFormula>техноНИКОЛЬ!$H:$L</oldFormula>
  </rdn>
  <rdn rId="0" localSheetId="21" customView="1" name="Z_CC6D6007_EFDE_464F_BD7C_A67043AC5D5C_.wvu.Cols" hidden="1" oldHidden="1">
    <formula>'Differo МИНПЛИТА'!$I:$J</formula>
    <oldFormula>'Differo МИНПЛИТА'!$I:$J</oldFormula>
  </rdn>
  <rdn rId="0" localSheetId="23" customView="1" name="Z_CC6D6007_EFDE_464F_BD7C_A67043AC5D5C_.wvu.Cols" hidden="1" oldHidden="1">
    <formula>PAROC!$C:$C</formula>
    <oldFormula>PAROC!$C:$C</oldFormula>
  </rdn>
  <rdn rId="0" localSheetId="11" customView="1" name="Z_CC6D6007_EFDE_464F_BD7C_A67043AC5D5C_.wvu.PrintArea" hidden="1" oldHidden="1">
    <formula>'ГКЛ Даногипс,ГИПРОК'!$A$1:$K$29</formula>
    <oldFormula>'ГКЛ Даногипс,ГИПРОК'!$A$1:$K$29</oldFormula>
  </rdn>
  <rdn rId="0" localSheetId="11" customView="1" name="Z_CC6D6007_EFDE_464F_BD7C_A67043AC5D5C_.wvu.Cols" hidden="1" oldHidden="1">
    <formula>'ГКЛ Даногипс,ГИПРОК'!$G:$H,'ГКЛ Даногипс,ГИПРОК'!$J:$K</formula>
    <oldFormula>'ГКЛ Даногипс,ГИПРОК'!$G:$H,'ГКЛ Даногипс,ГИПРОК'!$J:$K</oldFormula>
  </rdn>
  <rdn rId="0" localSheetId="7" customView="1" name="Z_CC6D6007_EFDE_464F_BD7C_A67043AC5D5C_.wvu.PrintArea" hidden="1" oldHidden="1">
    <formula>'профили ГКЛ'!$A$1:$N$39</formula>
    <oldFormula>'профили ГКЛ'!$A$1:$N$39</oldFormula>
  </rdn>
  <rdn rId="0" localSheetId="7" customView="1" name="Z_CC6D6007_EFDE_464F_BD7C_A67043AC5D5C_.wvu.Cols" hidden="1" oldHidden="1">
    <formula>'профили ГКЛ'!$O:$S</formula>
    <oldFormula>'профили ГКЛ'!$O:$S</oldFormula>
  </rdn>
  <rdn rId="0" localSheetId="8" customView="1" name="Z_CC6D6007_EFDE_464F_BD7C_A67043AC5D5C_.wvu.PrintArea" hidden="1" oldHidden="1">
    <formula>'профили НВФ'!$A$1:$K$66</formula>
    <oldFormula>'профили НВФ'!$A$1:$K$66</oldFormula>
  </rdn>
  <rdn rId="0" localSheetId="8" customView="1" name="Z_CC6D6007_EFDE_464F_BD7C_A67043AC5D5C_.wvu.Cols" hidden="1" oldHidden="1">
    <formula>'профили НВФ'!$I:$K</formula>
    <oldFormula>'профили НВФ'!$I:$K</oldFormula>
  </rdn>
  <rdn rId="0" localSheetId="9" customView="1" name="Z_CC6D6007_EFDE_464F_BD7C_A67043AC5D5C_.wvu.Cols" hidden="1" oldHidden="1">
    <formula>'ИЗМ''ИЗО''ИЗТ'!$D:$D</formula>
    <oldFormula>'ИЗМ''ИЗО''ИЗТ'!$D:$D</oldFormula>
  </rdn>
  <rdn rId="0" localSheetId="10" customView="1" name="Z_CC6D6007_EFDE_464F_BD7C_A67043AC5D5C_.wvu.PrintArea" hidden="1" oldHidden="1">
    <formula>'плёнки''всп.п-эн'!$A$1:$L$78</formula>
    <oldFormula>'плёнки''всп.п-эн'!$A$1:$L$78</oldFormula>
  </rdn>
  <rdn rId="0" localSheetId="10" customView="1" name="Z_CC6D6007_EFDE_464F_BD7C_A67043AC5D5C_.wvu.Rows" hidden="1" oldHidden="1">
    <formula>'плёнки''всп.п-эн'!$17:$24</formula>
    <oldFormula>'плёнки''всп.п-эн'!$17:$24</oldFormula>
  </rdn>
  <rdn rId="0" localSheetId="10" customView="1" name="Z_CC6D6007_EFDE_464F_BD7C_A67043AC5D5C_.wvu.Cols" hidden="1" oldHidden="1">
    <formula>'плёнки''всп.п-эн'!$I:$K</formula>
    <oldFormula>'плёнки''всп.п-эн'!$I:$K</oldFormula>
  </rdn>
  <rdn rId="0" localSheetId="12" customView="1" name="Z_CC6D6007_EFDE_464F_BD7C_A67043AC5D5C_.wvu.PrintArea" hidden="1" oldHidden="1">
    <formula>рубероид!$A$1:$M$52</formula>
    <oldFormula>рубероид!$A$1:$M$52</oldFormula>
  </rdn>
  <rdn rId="0" localSheetId="12" customView="1" name="Z_CC6D6007_EFDE_464F_BD7C_A67043AC5D5C_.wvu.Cols" hidden="1" oldHidden="1">
    <formula>рубероид!$J:$M</formula>
    <oldFormula>рубероид!$J:$M</oldFormula>
  </rdn>
  <rdn rId="0" localSheetId="13" customView="1" name="Z_CC6D6007_EFDE_464F_BD7C_A67043AC5D5C_.wvu.PrintArea" hidden="1" oldHidden="1">
    <formula>'ПСБ''XPS'!$A$1:$R$21</formula>
    <oldFormula>'ПСБ''XPS'!$A$1:$R$21</oldFormula>
  </rdn>
  <rdn rId="0" localSheetId="13" customView="1" name="Z_CC6D6007_EFDE_464F_BD7C_A67043AC5D5C_.wvu.Rows" hidden="1" oldHidden="1">
    <formula>'ПСБ''XPS'!$1:$1</formula>
    <oldFormula>'ПСБ''XPS'!$1:$1</oldFormula>
  </rdn>
  <rdn rId="0" localSheetId="13" customView="1" name="Z_CC6D6007_EFDE_464F_BD7C_A67043AC5D5C_.wvu.Cols" hidden="1" oldHidden="1">
    <formula>'ПСБ''XPS'!$L:$Q</formula>
    <oldFormula>'ПСБ''XPS'!$L:$Q</oldFormula>
  </rdn>
  <rdn rId="0" localSheetId="14" customView="1" name="Z_CC6D6007_EFDE_464F_BD7C_A67043AC5D5C_.wvu.PrintArea" hidden="1" oldHidden="1">
    <formula>'смеси''грунтовки'!$A$1:$P$160</formula>
    <oldFormula>'смеси''грунтовки'!$A$1:$P$160</oldFormula>
  </rdn>
  <rdn rId="0" localSheetId="14" customView="1" name="Z_CC6D6007_EFDE_464F_BD7C_A67043AC5D5C_.wvu.Cols" hidden="1" oldHidden="1">
    <formula>'смеси''грунтовки'!$F:$P</formula>
    <oldFormula>'смеси''грунтовки'!$F:$P</oldFormula>
  </rdn>
  <rdn rId="0" localSheetId="15" customView="1" name="Z_CC6D6007_EFDE_464F_BD7C_A67043AC5D5C_.wvu.PrintArea" hidden="1" oldHidden="1">
    <formula>docke!$A$1:$M$37</formula>
    <oldFormula>docke!$A$1:$M$37</oldFormula>
  </rdn>
  <rdn rId="0" localSheetId="15" customView="1" name="Z_CC6D6007_EFDE_464F_BD7C_A67043AC5D5C_.wvu.Cols" hidden="1" oldHidden="1">
    <formula>docke!$I:$M</formula>
    <oldFormula>docke!$I:$M</oldFormula>
  </rdn>
  <rdn rId="0" localSheetId="16" customView="1" name="Z_CC6D6007_EFDE_464F_BD7C_A67043AC5D5C_.wvu.Cols" hidden="1" oldHidden="1">
    <formula>'мастики''битумы'!$H:$I</formula>
    <oldFormula>'мастики''битумы'!$H:$I</oldFormula>
  </rdn>
  <rdn rId="0" localSheetId="17" customView="1" name="Z_CC6D6007_EFDE_464F_BD7C_A67043AC5D5C_.wvu.Cols" hidden="1" oldHidden="1">
    <formula>'Техно Николь Рулонка,ПРАЙМЕР, '!$E:$E</formula>
    <oldFormula>'Техно Николь Рулонка,ПРАЙМЕР, '!$E:$E</oldFormula>
  </rdn>
  <rdn rId="0" localSheetId="18" customView="1" name="Z_CC6D6007_EFDE_464F_BD7C_A67043AC5D5C_.wvu.Rows" hidden="1" oldHidden="1">
    <formula>ЦЕМЕНТ!$9:$13,ЦЕМЕНТ!$21:$27</formula>
    <oldFormula>ЦЕМЕНТ!$9:$13,ЦЕМЕНТ!$21:$27</oldFormula>
  </rdn>
  <rdn rId="0" localSheetId="19" customView="1" name="Z_CC6D6007_EFDE_464F_BD7C_A67043AC5D5C_.wvu.Cols" hidden="1" oldHidden="1">
    <formula>'КНАУФ ГКЛ, профиля ,смеси'!$C:$C</formula>
    <oldFormula>'КНАУФ ГКЛ, профиля ,смеси'!$C:$C</oldFormula>
  </rdn>
  <rdn rId="0" localSheetId="22" customView="1" name="Z_CC6D6007_EFDE_464F_BD7C_A67043AC5D5C_.wvu.Cols" hidden="1" oldHidden="1">
    <formula>'OSB,ФАНЕРА,ПОЛИКАРБОНАТ'!$C:$C</formula>
    <oldFormula>'OSB,ФАНЕРА,ПОЛИКАРБОНАТ'!$C:$C</oldFormula>
  </rdn>
  <rdn rId="0" localSheetId="33" customView="1" name="Z_CC6D6007_EFDE_464F_BD7C_A67043AC5D5C_.wvu.Rows" hidden="1" oldHidden="1">
    <formula>ВОКС!$4:$4</formula>
  </rdn>
  <rdn rId="0" localSheetId="35" customView="1" name="Z_CC6D6007_EFDE_464F_BD7C_A67043AC5D5C_.wvu.Rows" hidden="1" oldHidden="1">
    <formula>'МЧ и Доборка ДЕКЕ'!$4:$4</formula>
  </rdn>
  <rdn rId="0" localSheetId="35" customView="1" name="Z_CC6D6007_EFDE_464F_BD7C_A67043AC5D5C_.wvu.Cols" hidden="1" oldHidden="1">
    <formula>'МЧ и Доборка ДЕКЕ'!$G:$H</formula>
  </rdn>
  <rcv guid="{CC6D6007-EFDE-464F-BD7C-A67043AC5D5C}" action="add"/>
</revisions>
</file>

<file path=xl/revisions/revisionLog14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4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5.xml><?xml version="1.0" encoding="utf-8"?>
<revisions xmlns="http://schemas.openxmlformats.org/spreadsheetml/2006/main" xmlns:r="http://schemas.openxmlformats.org/officeDocument/2006/relationships">
  <rfmt sheetId="45" sqref="E12:E21">
    <dxf>
      <alignment vertical="center" readingOrder="0"/>
    </dxf>
  </rfmt>
  <rfmt sheetId="45" sqref="E12:E21">
    <dxf>
      <alignment vertical="top" readingOrder="0"/>
    </dxf>
  </rfmt>
  <rfmt sheetId="45" sqref="E5:E11">
    <dxf>
      <alignment vertical="top" readingOrder="0"/>
    </dxf>
  </rfmt>
  <rfmt sheetId="45" sqref="C10:C11">
    <dxf>
      <alignment vertical="bottom" readingOrder="0"/>
    </dxf>
  </rfmt>
  <rfmt sheetId="45" sqref="C10:C11">
    <dxf>
      <alignment vertical="top" readingOrder="0"/>
    </dxf>
  </rfmt>
  <rfmt sheetId="45" sqref="E22:E24">
    <dxf>
      <alignment vertical="top" readingOrder="0"/>
    </dxf>
  </rfmt>
  <rfmt sheetId="45" sqref="E31:E35">
    <dxf>
      <alignment vertical="top" readingOrder="0"/>
    </dxf>
  </rfmt>
  <rcc rId="12536" sId="45">
    <oc r="C6" t="inlineStr">
      <is>
        <t>217руб/кг</t>
      </is>
    </oc>
    <nc r="C6" t="inlineStr">
      <is>
        <t>285руб/кг</t>
      </is>
    </nc>
  </rcc>
  <rcc rId="12537" sId="45">
    <oc r="C10" t="inlineStr">
      <is>
        <t>130 руб/пакет</t>
      </is>
    </oc>
    <nc r="C10" t="inlineStr">
      <is>
        <t>170 руб/пакет</t>
      </is>
    </nc>
  </rcc>
  <rcc rId="12538" sId="45">
    <oc r="C11" t="inlineStr">
      <is>
        <t>/1950 руб/короб</t>
      </is>
    </oc>
    <nc r="C11" t="inlineStr">
      <is>
        <t>/2535 руб/короб</t>
      </is>
    </nc>
  </rcc>
  <rcc rId="12539" sId="45">
    <oc r="C13" t="inlineStr">
      <is>
        <t>217руб/кг/</t>
      </is>
    </oc>
    <nc r="C13" t="inlineStr">
      <is>
        <t>285руб/кг/</t>
      </is>
    </nc>
  </rcc>
  <rcc rId="12540" sId="45">
    <oc r="C14" t="inlineStr">
      <is>
        <t>3255 руб/мешок</t>
      </is>
    </oc>
    <nc r="C14" t="inlineStr">
      <is>
        <t>4230 руб/мешок</t>
      </is>
    </nc>
  </rcc>
  <rcc rId="12541" sId="45">
    <oc r="C19" t="inlineStr">
      <is>
        <t>130 руб/пакет/</t>
      </is>
    </oc>
    <nc r="C19" t="inlineStr">
      <is>
        <t>170 руб/пакет/</t>
      </is>
    </nc>
  </rcc>
  <rcc rId="12542" sId="45">
    <oc r="C20" t="inlineStr">
      <is>
        <t>1950руб/короб</t>
      </is>
    </oc>
    <nc r="C20" t="inlineStr">
      <is>
        <t>2535руб/короб</t>
      </is>
    </nc>
  </rcc>
  <rcc rId="12543" sId="45">
    <oc r="C23" t="inlineStr">
      <is>
        <t>217руб/кг/</t>
      </is>
    </oc>
    <nc r="C23" t="inlineStr">
      <is>
        <t>285руб/кг/</t>
      </is>
    </nc>
  </rcc>
  <rcc rId="12544" sId="45">
    <oc r="C24" t="inlineStr">
      <is>
        <t>3255руб/мешок</t>
      </is>
    </oc>
    <nc r="C24" t="inlineStr">
      <is>
        <t>4230руб/мешок</t>
      </is>
    </nc>
  </rcc>
  <rcc rId="12545" sId="45">
    <oc r="C28" t="inlineStr">
      <is>
        <t>190 руб/пакет/</t>
      </is>
    </oc>
    <nc r="C28" t="inlineStr">
      <is>
        <t>250 руб/пакет/</t>
      </is>
    </nc>
  </rcc>
  <rcc rId="12546" sId="45">
    <oc r="C29" t="inlineStr">
      <is>
        <t>1900 руб/короб</t>
      </is>
    </oc>
    <nc r="C29" t="inlineStr">
      <is>
        <t>2470 руб/короб</t>
      </is>
    </nc>
  </rcc>
  <rcc rId="12547" sId="45">
    <oc r="C34" t="inlineStr">
      <is>
        <t>190 руб/пакет</t>
      </is>
    </oc>
    <nc r="C34" t="inlineStr">
      <is>
        <t>250 руб/пакет</t>
      </is>
    </nc>
  </rcc>
  <rfmt sheetId="45" sqref="A2:G2">
    <dxf>
      <fill>
        <patternFill patternType="solid">
          <bgColor rgb="FFFFC000"/>
        </patternFill>
      </fill>
    </dxf>
  </rfmt>
  <rrc rId="12548" sId="45" ref="A3:XFD3" action="deleteRow">
    <rfmt sheetId="45" xfDxf="1" sqref="A3:XFD3" start="0" length="0"/>
  </rrc>
  <rrc rId="12549" sId="45" eol="1" ref="A36:XFD36" action="insertRow"/>
  <rfmt sheetId="45" sqref="A36" start="0" length="0">
    <dxf>
      <border>
        <left style="medium">
          <color indexed="64"/>
        </left>
        <right style="medium">
          <color indexed="64"/>
        </right>
        <top style="medium">
          <color indexed="64"/>
        </top>
        <bottom style="medium">
          <color indexed="64"/>
        </bottom>
      </border>
    </dxf>
  </rfmt>
  <rfmt sheetId="45" sqref="A36" start="0" length="2147483647">
    <dxf>
      <font>
        <b/>
      </font>
    </dxf>
  </rfmt>
  <rfmt sheetId="45" sqref="A36" start="0" length="2147483647">
    <dxf>
      <font>
        <sz val="26"/>
      </font>
    </dxf>
  </rfmt>
  <rfmt sheetId="45" sqref="A36">
    <dxf>
      <alignment vertical="center" readingOrder="0"/>
    </dxf>
  </rfmt>
  <rfmt sheetId="45" sqref="A36:G36">
    <dxf>
      <fill>
        <patternFill patternType="solid">
          <bgColor rgb="FFFFC000"/>
        </patternFill>
      </fill>
    </dxf>
  </rfmt>
  <rfmt sheetId="45" sqref="A2">
    <dxf>
      <alignment horizontal="center" readingOrder="0"/>
    </dxf>
  </rfmt>
  <rfmt sheetId="45" sqref="A2:G2">
    <dxf>
      <alignment vertical="center" readingOrder="0"/>
    </dxf>
  </rfmt>
  <rcc rId="12550" sId="45" odxf="1" dxf="1" numFmtId="19">
    <nc r="G36">
      <v>43588</v>
    </nc>
    <odxf>
      <numFmt numFmtId="0" formatCode="General"/>
    </odxf>
    <ndxf>
      <numFmt numFmtId="19" formatCode="dd/mm/yyyy"/>
    </ndxf>
  </rcc>
  <rfmt sheetId="45" sqref="G36" start="0" length="2147483647">
    <dxf>
      <font>
        <b/>
      </font>
    </dxf>
  </rfmt>
  <rcc rId="12551" sId="45">
    <nc r="A36" t="inlineStr">
      <is>
        <t>АРМАТУРА стеклопластиковая</t>
      </is>
    </nc>
  </rcc>
  <rfmt sheetId="45" sqref="A36" start="0" length="0">
    <dxf>
      <border>
        <left/>
        <right/>
        <top/>
        <bottom/>
      </border>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rdn>
  <rcv guid="{FBB3E572-A647-4B8C-96C7-F43FE4F7CAA8}" action="add"/>
</revisions>
</file>

<file path=xl/revisions/revisionLog15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5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5111.xml><?xml version="1.0" encoding="utf-8"?>
<revisions xmlns="http://schemas.openxmlformats.org/spreadsheetml/2006/main" xmlns:r="http://schemas.openxmlformats.org/officeDocument/2006/relationships">
  <rcc rId="12192" sId="19" numFmtId="4">
    <oc r="E7">
      <v>360.3</v>
    </oc>
    <nc r="E7">
      <v>358.3</v>
    </nc>
  </rcc>
  <rcv guid="{900EF7B2-0D63-4DE2-9CFC-2D2B3788802C}" action="delete"/>
  <rdn rId="0" localSheetId="1" customView="1" name="Z_900EF7B2_0D63_4DE2_9CFC_2D2B3788802C_.wvu.PrintArea" hidden="1" oldHidden="1">
    <formula>'ЦЕНТР-ТИМ'!$A$1:$Q$208</formula>
    <oldFormula>'ЦЕНТР-ТИМ'!$A$1:$Q$208</oldFormula>
  </rdn>
  <rdn rId="0" localSheetId="2" customView="1" name="Z_900EF7B2_0D63_4DE2_9CFC_2D2B3788802C_.wvu.PrintArea" hidden="1" oldHidden="1">
    <formula>HotRock!$A$1:$P$31</formula>
    <oldFormula>HotRock!$A$1:$P$31</oldFormula>
  </rdn>
  <rdn rId="0" localSheetId="2" customView="1" name="Z_900EF7B2_0D63_4DE2_9CFC_2D2B3788802C_.wvu.Cols" hidden="1" oldHidden="1">
    <formula>HotRock!$L:$P</formula>
    <oldFormula>HotRock!$L:$P</oldFormula>
  </rdn>
  <rdn rId="0" localSheetId="3" customView="1" name="Z_900EF7B2_0D63_4DE2_9CFC_2D2B3788802C_.wvu.PrintArea" hidden="1" oldHidden="1">
    <formula>ISOROC!$A$1:$T$14</formula>
    <oldFormula>ISOROC!$A$1:$T$14</oldFormula>
  </rdn>
  <rdn rId="0" localSheetId="3" customView="1" name="Z_900EF7B2_0D63_4DE2_9CFC_2D2B3788802C_.wvu.Cols" hidden="1" oldHidden="1">
    <formula>ISOROC!$M:$T</formula>
    <oldFormula>ISOROC!$M:$T</oldFormula>
  </rdn>
  <rdn rId="0" localSheetId="4" customView="1" name="Z_900EF7B2_0D63_4DE2_9CFC_2D2B3788802C_.wvu.PrintArea" hidden="1" oldHidden="1">
    <formula>IZOVOL!$A$1:$L$20</formula>
    <oldFormula>IZOVOL!$A$1:$L$20</oldFormula>
  </rdn>
  <rdn rId="0" localSheetId="4" customView="1" name="Z_900EF7B2_0D63_4DE2_9CFC_2D2B3788802C_.wvu.Cols" hidden="1" oldHidden="1">
    <formula>IZOVOL!$H:$J</formula>
    <oldFormula>IZOVOL!$H:$J</oldFormula>
  </rdn>
  <rdn rId="0" localSheetId="5" customView="1" name="Z_900EF7B2_0D63_4DE2_9CFC_2D2B3788802C_.wvu.PrintArea" hidden="1" oldHidden="1">
    <formula>ROCKWOOL!$A$1:$H$36</formula>
    <oldFormula>ROCKWOOL!$A$1:$H$36</oldFormula>
  </rdn>
  <rdn rId="0" localSheetId="5" customView="1" name="Z_900EF7B2_0D63_4DE2_9CFC_2D2B3788802C_.wvu.Cols" hidden="1" oldHidden="1">
    <formula>ROCKWOOL!$G:$G</formula>
    <oldFormula>ROCKWOOL!$G:$G</oldFormula>
  </rdn>
  <rdn rId="0" localSheetId="6" customView="1" name="Z_900EF7B2_0D63_4DE2_9CFC_2D2B3788802C_.wvu.PrintArea" hidden="1" oldHidden="1">
    <formula>техноНИКОЛЬ!$A$1:$L$20</formula>
    <oldFormula>техноНИКОЛЬ!$A$1:$L$20</oldFormula>
  </rdn>
  <rdn rId="0" localSheetId="6" customView="1" name="Z_900EF7B2_0D63_4DE2_9CFC_2D2B3788802C_.wvu.Cols" hidden="1" oldHidden="1">
    <formula>техноНИКОЛЬ!$H:$L</formula>
    <oldFormula>техноНИКОЛЬ!$H:$L</oldFormula>
  </rdn>
  <rdn rId="0" localSheetId="21" customView="1" name="Z_900EF7B2_0D63_4DE2_9CFC_2D2B3788802C_.wvu.Cols" hidden="1" oldHidden="1">
    <formula>'Differo МИНПЛИТА'!$I:$J</formula>
    <oldFormula>'Differo МИНПЛИТА'!$I:$J</oldFormula>
  </rdn>
  <rdn rId="0" localSheetId="23" customView="1" name="Z_900EF7B2_0D63_4DE2_9CFC_2D2B3788802C_.wvu.Cols" hidden="1" oldHidden="1">
    <formula>PAROC!$C:$C</formula>
    <oldFormula>PAROC!$C:$C</oldFormula>
  </rdn>
  <rdn rId="0" localSheetId="11" customView="1" name="Z_900EF7B2_0D63_4DE2_9CFC_2D2B3788802C_.wvu.PrintArea" hidden="1" oldHidden="1">
    <formula>'ГКЛ Даногипс,ГИПРОК'!$A$1:$I$29</formula>
    <oldFormula>'ГКЛ Даногипс,ГИПРОК'!$A$1:$I$29</oldFormula>
  </rdn>
  <rdn rId="0" localSheetId="11" customView="1" name="Z_900EF7B2_0D63_4DE2_9CFC_2D2B3788802C_.wvu.Cols" hidden="1" oldHidden="1">
    <formula>'ГКЛ Даногипс,ГИПРОК'!$G:$H</formula>
    <oldFormula>'ГКЛ Даногипс,ГИПРОК'!$G:$H</oldFormula>
  </rdn>
  <rdn rId="0" localSheetId="7" customView="1" name="Z_900EF7B2_0D63_4DE2_9CFC_2D2B3788802C_.wvu.PrintArea" hidden="1" oldHidden="1">
    <formula>'профили ГКЛ'!$A$1:$N$39</formula>
    <oldFormula>'профили ГКЛ'!$A$1:$N$39</oldFormula>
  </rdn>
  <rdn rId="0" localSheetId="7" customView="1" name="Z_900EF7B2_0D63_4DE2_9CFC_2D2B3788802C_.wvu.Cols" hidden="1" oldHidden="1">
    <formula>'профили ГКЛ'!$O:$S</formula>
    <oldFormula>'профили ГКЛ'!$O:$S</oldFormula>
  </rdn>
  <rdn rId="0" localSheetId="8" customView="1" name="Z_900EF7B2_0D63_4DE2_9CFC_2D2B3788802C_.wvu.PrintArea" hidden="1" oldHidden="1">
    <formula>'профили НВФ'!$A$1:$K$66</formula>
    <oldFormula>'профили НВФ'!$A$1:$K$66</oldFormula>
  </rdn>
  <rdn rId="0" localSheetId="8" customView="1" name="Z_900EF7B2_0D63_4DE2_9CFC_2D2B3788802C_.wvu.Cols" hidden="1" oldHidden="1">
    <formula>'профили НВФ'!$I:$K</formula>
    <oldFormula>'профили НВФ'!$I:$K</oldFormula>
  </rdn>
  <rdn rId="0" localSheetId="9" customView="1" name="Z_900EF7B2_0D63_4DE2_9CFC_2D2B3788802C_.wvu.Cols" hidden="1" oldHidden="1">
    <formula>'ИЗМ''ИЗО''ИЗТ'!$D:$D</formula>
    <oldFormula>'ИЗМ''ИЗО''ИЗТ'!$D:$D</oldFormula>
  </rdn>
  <rdn rId="0" localSheetId="10" customView="1" name="Z_900EF7B2_0D63_4DE2_9CFC_2D2B3788802C_.wvu.PrintArea" hidden="1" oldHidden="1">
    <formula>'плёнки''всп.п-эн'!$A$1:$L$78</formula>
    <oldFormula>'плёнки''всп.п-эн'!$A$1:$L$78</oldFormula>
  </rdn>
  <rdn rId="0" localSheetId="10" customView="1" name="Z_900EF7B2_0D63_4DE2_9CFC_2D2B3788802C_.wvu.Rows" hidden="1" oldHidden="1">
    <formula>'плёнки''всп.п-эн'!$17:$24</formula>
    <oldFormula>'плёнки''всп.п-эн'!$17:$24</oldFormula>
  </rdn>
  <rdn rId="0" localSheetId="10" customView="1" name="Z_900EF7B2_0D63_4DE2_9CFC_2D2B3788802C_.wvu.Cols" hidden="1" oldHidden="1">
    <formula>'плёнки''всп.п-эн'!$I:$K</formula>
    <oldFormula>'плёнки''всп.п-эн'!$I:$K</oldFormula>
  </rdn>
  <rdn rId="0" localSheetId="12" customView="1" name="Z_900EF7B2_0D63_4DE2_9CFC_2D2B3788802C_.wvu.PrintArea" hidden="1" oldHidden="1">
    <formula>рубероид!$A$1:$M$52</formula>
    <oldFormula>рубероид!$A$1:$M$52</oldFormula>
  </rdn>
  <rdn rId="0" localSheetId="12" customView="1" name="Z_900EF7B2_0D63_4DE2_9CFC_2D2B3788802C_.wvu.Cols" hidden="1" oldHidden="1">
    <formula>рубероид!$J:$M</formula>
    <oldFormula>рубероид!$J:$M</oldFormula>
  </rdn>
  <rdn rId="0" localSheetId="13" customView="1" name="Z_900EF7B2_0D63_4DE2_9CFC_2D2B3788802C_.wvu.PrintArea" hidden="1" oldHidden="1">
    <formula>'ПСБ''XPS'!$A$1:$R$21</formula>
    <oldFormula>'ПСБ''XPS'!$A$1:$R$21</oldFormula>
  </rdn>
  <rdn rId="0" localSheetId="13" customView="1" name="Z_900EF7B2_0D63_4DE2_9CFC_2D2B3788802C_.wvu.Rows" hidden="1" oldHidden="1">
    <formula>'ПСБ''XPS'!$1:$1</formula>
    <oldFormula>'ПСБ''XPS'!$1:$1</oldFormula>
  </rdn>
  <rdn rId="0" localSheetId="13" customView="1" name="Z_900EF7B2_0D63_4DE2_9CFC_2D2B3788802C_.wvu.Cols" hidden="1" oldHidden="1">
    <formula>'ПСБ''XPS'!$L:$Q</formula>
    <oldFormula>'ПСБ''XPS'!$L:$Q</oldFormula>
  </rdn>
  <rdn rId="0" localSheetId="14" customView="1" name="Z_900EF7B2_0D63_4DE2_9CFC_2D2B3788802C_.wvu.PrintArea" hidden="1" oldHidden="1">
    <formula>'смеси''грунтовки'!$A$1:$P$160</formula>
    <oldFormula>'смеси''грунтовки'!$A$1:$P$160</oldFormula>
  </rdn>
  <rdn rId="0" localSheetId="14" customView="1" name="Z_900EF7B2_0D63_4DE2_9CFC_2D2B3788802C_.wvu.Cols" hidden="1" oldHidden="1">
    <formula>'смеси''грунтовки'!$F:$P</formula>
    <oldFormula>'смеси''грунтовки'!$F:$P</oldFormula>
  </rdn>
  <rdn rId="0" localSheetId="15" customView="1" name="Z_900EF7B2_0D63_4DE2_9CFC_2D2B3788802C_.wvu.PrintArea" hidden="1" oldHidden="1">
    <formula>docke!$A$1:$M$37</formula>
    <oldFormula>docke!$A$1:$M$37</oldFormula>
  </rdn>
  <rdn rId="0" localSheetId="15" customView="1" name="Z_900EF7B2_0D63_4DE2_9CFC_2D2B3788802C_.wvu.Cols" hidden="1" oldHidden="1">
    <formula>docke!$I:$M</formula>
    <oldFormula>docke!$I:$M</oldFormula>
  </rdn>
  <rdn rId="0" localSheetId="16" customView="1" name="Z_900EF7B2_0D63_4DE2_9CFC_2D2B3788802C_.wvu.Cols" hidden="1" oldHidden="1">
    <formula>'мастики''битумы'!$H:$I</formula>
    <oldFormula>'мастики''битумы'!$H:$I</oldFormula>
  </rdn>
  <rdn rId="0" localSheetId="17" customView="1" name="Z_900EF7B2_0D63_4DE2_9CFC_2D2B3788802C_.wvu.Cols" hidden="1" oldHidden="1">
    <formula>'Техно Николь Рулонка,ПРАЙМЕР, '!$E:$E</formula>
    <oldFormula>'Техно Николь Рулонка,ПРАЙМЕР, '!$E:$E</oldFormula>
  </rdn>
  <rdn rId="0" localSheetId="19" customView="1" name="Z_900EF7B2_0D63_4DE2_9CFC_2D2B3788802C_.wvu.Cols" hidden="1" oldHidden="1">
    <formula>'КНАУФ ГКЛ, профиля ,смеси'!$C:$C</formula>
    <oldFormula>'КНАУФ ГКЛ, профиля ,смеси'!$C:$C</oldFormula>
  </rdn>
  <rdn rId="0" localSheetId="22" customView="1" name="Z_900EF7B2_0D63_4DE2_9CFC_2D2B3788802C_.wvu.Cols" hidden="1" oldHidden="1">
    <formula>'OSB,ФАНЕРА,ПОЛИКАРБОНАТ'!$C:$C</formula>
    <oldFormula>'OSB,ФАНЕРА,ПОЛИКАРБОНАТ'!$C:$C</oldFormula>
  </rdn>
  <rdn rId="0" localSheetId="33" customView="1" name="Z_900EF7B2_0D63_4DE2_9CFC_2D2B3788802C_.wvu.Rows" hidden="1" oldHidden="1">
    <formula>ВОКС!$4:$4</formula>
    <oldFormula>ВОКС!$4:$4</oldFormula>
  </rdn>
  <rdn rId="0" localSheetId="35" customView="1" name="Z_900EF7B2_0D63_4DE2_9CFC_2D2B3788802C_.wvu.Rows" hidden="1" oldHidden="1">
    <formula>'МЧ и Доборка ДЕКЕ'!$4:$4</formula>
  </rdn>
  <rdn rId="0" localSheetId="35" customView="1" name="Z_900EF7B2_0D63_4DE2_9CFC_2D2B3788802C_.wvu.Cols" hidden="1" oldHidden="1">
    <formula>'МЧ и Доборка ДЕКЕ'!$G:$H</formula>
  </rdn>
  <rcv guid="{900EF7B2-0D63-4DE2-9CFC-2D2B3788802C}" action="add"/>
</revisions>
</file>

<file path=xl/revisions/revisionLog152.xml><?xml version="1.0" encoding="utf-8"?>
<revisions xmlns="http://schemas.openxmlformats.org/spreadsheetml/2006/main" xmlns:r="http://schemas.openxmlformats.org/officeDocument/2006/relationships">
  <rm rId="12491" sheetId="45" source="I1:L2" destination="M6:P7" sourceSheetId="45"/>
  <rm rId="12492" sheetId="45" source="M6:P7" destination="R15:U16" sourceSheetId="45"/>
  <rfmt sheetId="45" sqref="H1" start="0" length="0">
    <dxf>
      <border>
        <right style="medium">
          <color indexed="64"/>
        </right>
      </border>
    </dxf>
  </rfmt>
  <rcc rId="12493" sId="45" odxf="1" dxf="1" numFmtId="19">
    <nc r="H1">
      <v>43588</v>
    </nc>
    <odxf>
      <numFmt numFmtId="0" formatCode="General"/>
    </odxf>
    <ndxf>
      <numFmt numFmtId="19" formatCode="dd/mm/yyyy"/>
    </ndxf>
  </rcc>
  <rfmt sheetId="45" sqref="H5" start="0" length="2147483647">
    <dxf>
      <font>
        <sz val="8"/>
      </font>
    </dxf>
  </rfmt>
  <rfmt sheetId="45" sqref="H1" start="0" length="2147483647">
    <dxf>
      <font>
        <sz val="9"/>
      </font>
    </dxf>
  </rfmt>
  <rcc rId="12494" sId="45" odxf="1" dxf="1" numFmtId="19">
    <nc r="G1">
      <v>43588</v>
    </nc>
    <odxf>
      <numFmt numFmtId="0" formatCode="General"/>
    </odxf>
    <ndxf>
      <numFmt numFmtId="19" formatCode="dd/mm/yyyy"/>
    </ndxf>
  </rcc>
  <rm rId="12495" sheetId="45" source="H1" destination="V15" sourceSheetId="45"/>
  <rrc rId="12496" sId="45" ref="A2:XFD2" action="deleteRow">
    <rfmt sheetId="45"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6.xml><?xml version="1.0" encoding="utf-8"?>
<revisions xmlns="http://schemas.openxmlformats.org/spreadsheetml/2006/main" xmlns:r="http://schemas.openxmlformats.org/officeDocument/2006/relationships">
  <rcc rId="13437" sId="46">
    <oc r="O6">
      <f>G6*0.98</f>
    </oc>
    <nc r="O6"/>
  </rcc>
  <rcc rId="13438" sId="46">
    <oc r="O7">
      <f>G7*0.98</f>
    </oc>
    <nc r="O7"/>
  </rcc>
  <rcc rId="13439" sId="46">
    <oc r="O8">
      <f>G8*0.98</f>
    </oc>
    <nc r="O8"/>
  </rcc>
  <rcc rId="13440" sId="46">
    <oc r="O9">
      <f>G9*0.98</f>
    </oc>
    <nc r="O9"/>
  </rcc>
  <rcc rId="13441" sId="46">
    <oc r="O10">
      <f>G10*0.98</f>
    </oc>
    <nc r="O10"/>
  </rcc>
  <rcc rId="13442" sId="46">
    <oc r="O11">
      <f>G11*0.98</f>
    </oc>
    <nc r="O11"/>
  </rcc>
  <rcc rId="13443" sId="46">
    <oc r="O12">
      <f>G12*0.98</f>
    </oc>
    <nc r="O12"/>
  </rcc>
  <rcc rId="13444" sId="46">
    <oc r="O13">
      <f>G13*0.98</f>
    </oc>
    <nc r="O13"/>
  </rcc>
  <rcc rId="13445" sId="46">
    <oc r="O14">
      <f>G14*0.98</f>
    </oc>
    <nc r="O14"/>
  </rcc>
  <rcc rId="13446" sId="46">
    <oc r="O15">
      <f>G15*0.98</f>
    </oc>
    <nc r="O15"/>
  </rcc>
  <rcc rId="13447" sId="46">
    <oc r="O16">
      <f>G16*0.98</f>
    </oc>
    <nc r="O16"/>
  </rcc>
  <rcc rId="13448" sId="46">
    <oc r="O17">
      <f>G17*0.98</f>
    </oc>
    <nc r="O17"/>
  </rcc>
  <rcc rId="13449" sId="46">
    <oc r="O18">
      <f>G18*0.98</f>
    </oc>
    <nc r="O18"/>
  </rcc>
  <rcc rId="13450" sId="46">
    <oc r="O19">
      <f>G19*0.98</f>
    </oc>
    <nc r="O19"/>
  </rcc>
  <rcc rId="13451" sId="46">
    <oc r="O20">
      <f>G20*0.98</f>
    </oc>
    <nc r="O20"/>
  </rcc>
  <rcc rId="13452" sId="46">
    <oc r="O21">
      <f>G21*0.98</f>
    </oc>
    <nc r="O21"/>
  </rcc>
  <rcc rId="13453" sId="46">
    <oc r="O22">
      <f>G22*0.98</f>
    </oc>
    <nc r="O22"/>
  </rcc>
  <rcc rId="13454" sId="46">
    <oc r="O23">
      <f>G23*0.98</f>
    </oc>
    <nc r="O23"/>
  </rcc>
  <rcc rId="13455" sId="46">
    <oc r="O24">
      <f>G24*0.98</f>
    </oc>
    <nc r="O24"/>
  </rcc>
  <rcc rId="13456" sId="46">
    <oc r="O25">
      <f>G25*0.98</f>
    </oc>
    <nc r="O25"/>
  </rcc>
  <rcc rId="13457" sId="46">
    <oc r="O26">
      <f>G26*0.98</f>
    </oc>
    <nc r="O26"/>
  </rcc>
  <rcc rId="13458" sId="46">
    <oc r="O27">
      <f>G27*0.98</f>
    </oc>
    <nc r="O27"/>
  </rcc>
  <rcc rId="13459" sId="46">
    <oc r="O28">
      <f>G28*0.98</f>
    </oc>
    <nc r="O28"/>
  </rcc>
  <rcc rId="13460" sId="46">
    <oc r="O29">
      <f>G29*0.98</f>
    </oc>
    <nc r="O29"/>
  </rcc>
  <rcc rId="13461" sId="46">
    <oc r="O30">
      <f>G30*0.98</f>
    </oc>
    <nc r="O30"/>
  </rcc>
  <rcc rId="13462" sId="46">
    <oc r="O31">
      <f>G31*0.98</f>
    </oc>
    <nc r="O31"/>
  </rcc>
  <rcc rId="13463" sId="46">
    <oc r="O32">
      <f>G32*0.98</f>
    </oc>
    <nc r="O32"/>
  </rcc>
  <rcc rId="13464" sId="46">
    <oc r="O33">
      <f>G33*0.98</f>
    </oc>
    <nc r="O33"/>
  </rcc>
  <rcc rId="13465" sId="46">
    <oc r="O34">
      <f>G34*0.98</f>
    </oc>
    <nc r="O34"/>
  </rcc>
  <rcc rId="13466" sId="46">
    <oc r="O35">
      <f>G35*0.98</f>
    </oc>
    <nc r="O35"/>
  </rcc>
  <rcc rId="13467" sId="46">
    <oc r="O36">
      <f>G36*0.98</f>
    </oc>
    <nc r="O36"/>
  </rcc>
  <rcc rId="13468" sId="46">
    <oc r="O37">
      <f>G37*0.98</f>
    </oc>
    <nc r="O37"/>
  </rcc>
  <rcc rId="13469" sId="46">
    <oc r="O38">
      <f>G38*0.98</f>
    </oc>
    <nc r="O38"/>
  </rcc>
  <rcc rId="13470" sId="46">
    <oc r="O39">
      <f>G39*0.98</f>
    </oc>
    <nc r="O39"/>
  </rcc>
  <rcc rId="13471" sId="46">
    <oc r="O40">
      <f>G40*0.98</f>
    </oc>
    <nc r="O40"/>
  </rcc>
  <rcc rId="13472" sId="46">
    <oc r="O41">
      <f>G41*0.98</f>
    </oc>
    <nc r="O41"/>
  </rcc>
  <rcc rId="13473" sId="46">
    <oc r="O42">
      <f>G42*0.98</f>
    </oc>
    <nc r="O42"/>
  </rcc>
  <rcc rId="13474" sId="46">
    <oc r="O43">
      <f>G43*0.98</f>
    </oc>
    <nc r="O43"/>
  </rcc>
  <rcc rId="13475" sId="46">
    <oc r="O44">
      <f>G44*0.98</f>
    </oc>
    <nc r="O44"/>
  </rcc>
  <rcc rId="13476" sId="46">
    <oc r="O45">
      <f>G45*0.98</f>
    </oc>
    <nc r="O45"/>
  </rcc>
  <rm rId="13477" sheetId="46" source="P6:P45" destination="O6:O45" sourceSheetId="46">
    <rfmt sheetId="46" sqref="O6"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7"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8"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9"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0"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1"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2"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3"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4"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5"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6"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7"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8"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19"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0"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1"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2"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3"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4"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5"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6"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7"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8"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29"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0"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1"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2"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3"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4"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5"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6"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7"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8"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39"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40"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41"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42"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43"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44"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fmt sheetId="46" sqref="O45" start="0" length="0">
      <dxf>
        <font>
          <b/>
          <sz val="11"/>
          <color theme="1"/>
          <name val="Calibri"/>
          <scheme val="minor"/>
        </font>
        <numFmt numFmtId="3" formatCode="#,##0"/>
        <border outline="0">
          <left style="thin">
            <color indexed="64"/>
          </left>
          <right style="thin">
            <color indexed="64"/>
          </right>
          <top style="thin">
            <color indexed="64"/>
          </top>
          <bottom style="thin">
            <color indexed="64"/>
          </bottom>
        </border>
      </dxf>
    </rfmt>
  </rm>
  <rfmt sheetId="46" sqref="O6:O45" start="0" length="0">
    <dxf>
      <border>
        <right style="thin">
          <color indexed="64"/>
        </right>
      </border>
    </dxf>
  </rfmt>
  <rfmt sheetId="46" sqref="O45" start="0" length="0">
    <dxf>
      <border>
        <bottom style="thin">
          <color indexed="64"/>
        </bottom>
      </border>
    </dxf>
  </rfmt>
  <rfmt sheetId="46" sqref="O6:O4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6" sqref="O6:O45" start="0" length="0">
    <dxf>
      <border>
        <left style="medium">
          <color indexed="64"/>
        </left>
      </border>
    </dxf>
  </rfmt>
  <rfmt sheetId="46" sqref="O6" start="0" length="0">
    <dxf>
      <border>
        <top style="medium">
          <color indexed="64"/>
        </top>
      </border>
    </dxf>
  </rfmt>
  <rfmt sheetId="46" sqref="O6:O45" start="0" length="0">
    <dxf>
      <border>
        <right style="medium">
          <color indexed="64"/>
        </right>
      </border>
    </dxf>
  </rfmt>
  <rfmt sheetId="46" sqref="O45" start="0" length="0">
    <dxf>
      <border>
        <bottom style="medium">
          <color indexed="64"/>
        </bottom>
      </border>
    </dxf>
  </rfmt>
  <rfmt sheetId="46" sqref="O6:O45" start="0" length="2147483647">
    <dxf>
      <font>
        <sz val="12"/>
      </font>
    </dxf>
  </rfmt>
  <rfmt sheetId="46" sqref="O6:O45">
    <dxf>
      <alignment horizontal="center" readingOrder="0"/>
    </dxf>
  </rfmt>
  <rcc rId="13478" sId="46">
    <nc r="C2" t="inlineStr">
      <is>
        <t>ФОРММАТ "999"</t>
      </is>
    </nc>
  </rcc>
  <rfmt sheetId="46" sqref="C2" start="0" length="2147483647">
    <dxf>
      <font>
        <sz val="16"/>
      </font>
    </dxf>
  </rfmt>
  <rfmt sheetId="46" sqref="A2:O3">
    <dxf>
      <fill>
        <patternFill patternType="solid">
          <bgColor rgb="FFFFFF00"/>
        </patternFill>
      </fill>
    </dxf>
  </rfmt>
  <rfmt sheetId="46" sqref="C2">
    <dxf>
      <alignment horizontal="center" readingOrder="0"/>
    </dxf>
  </rfmt>
  <rfmt sheetId="46" sqref="C2" start="0" length="2147483647">
    <dxf>
      <font>
        <b/>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dn rId="0" localSheetId="45" customView="1" name="Z_FBB3E572_A647_4B8C_96C7_F43FE4F7CAA8_.wvu.Rows" hidden="1" oldHidden="1">
    <formula>'ФИБРА + АРМАТУРА СТЕКЛО'!$29:$29</formula>
    <oldFormula>'ФИБРА + АРМАТУРА СТЕКЛО'!$29:$29</oldFormula>
  </rdn>
  <rdn rId="0" localSheetId="46" customView="1" name="Z_FBB3E572_A647_4B8C_96C7_F43FE4F7CAA8_.wvu.Cols" hidden="1" oldHidden="1">
    <formula>'СМЕСИ ФОРММАТЕРИАЛЫ 999'!$E:$N</formula>
    <oldFormula>'СМЕСИ ФОРММАТЕРИАЛЫ 999'!$E:$N</oldFormula>
  </rdn>
  <rcv guid="{FBB3E572-A647-4B8C-96C7-F43FE4F7CAA8}" action="add"/>
</revisions>
</file>

<file path=xl/revisions/revisionLog161.xml><?xml version="1.0" encoding="utf-8"?>
<revisions xmlns="http://schemas.openxmlformats.org/spreadsheetml/2006/main" xmlns:r="http://schemas.openxmlformats.org/officeDocument/2006/relationships">
  <ris rId="12388" sheetId="45" name="[ПРАЙС ЦЕНТР-ТИМ 2019 обновленный.xlsx]ФИБРА + АРМАТУРА СТЕКЛО" sheetPosition="44"/>
  <rcc rId="12389" sId="45"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6"/>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5" sqref="B1" start="0" length="0">
    <dxf>
      <font>
        <sz val="16"/>
        <color theme="1"/>
        <name val="Calibri"/>
        <scheme val="minor"/>
      </font>
      <fill>
        <patternFill patternType="solid">
          <bgColor rgb="FF00B0F0"/>
        </patternFill>
      </fill>
      <border outline="0">
        <top style="medium">
          <color indexed="64"/>
        </top>
        <bottom style="medium">
          <color indexed="64"/>
        </bottom>
      </border>
    </dxf>
  </rfmt>
  <rfmt sheetId="45" sqref="C1" start="0" length="0">
    <dxf>
      <font>
        <sz val="16"/>
        <color theme="1"/>
        <name val="Calibri"/>
        <scheme val="minor"/>
      </font>
      <fill>
        <patternFill patternType="solid">
          <bgColor rgb="FF00B0F0"/>
        </patternFill>
      </fill>
      <border outline="0">
        <top style="medium">
          <color indexed="64"/>
        </top>
        <bottom style="medium">
          <color indexed="64"/>
        </bottom>
      </border>
    </dxf>
  </rfmt>
  <rfmt sheetId="45" sqref="D1" start="0" length="0">
    <dxf>
      <font>
        <sz val="16"/>
        <color theme="1"/>
        <name val="Calibri"/>
        <scheme val="minor"/>
      </font>
      <fill>
        <patternFill patternType="solid">
          <bgColor rgb="FF00B0F0"/>
        </patternFill>
      </fill>
      <border outline="0">
        <top style="medium">
          <color indexed="64"/>
        </top>
        <bottom style="medium">
          <color indexed="64"/>
        </bottom>
      </border>
    </dxf>
  </rfmt>
  <rfmt sheetId="45" sqref="E1" start="0" length="0">
    <dxf>
      <font>
        <sz val="16"/>
        <color theme="1"/>
        <name val="Calibri"/>
        <scheme val="minor"/>
      </font>
      <fill>
        <patternFill patternType="solid">
          <bgColor rgb="FF00B0F0"/>
        </patternFill>
      </fill>
      <border outline="0">
        <top style="medium">
          <color indexed="64"/>
        </top>
        <bottom style="medium">
          <color indexed="64"/>
        </bottom>
      </border>
    </dxf>
  </rfmt>
  <rfmt sheetId="45" sqref="F1" start="0" length="0">
    <dxf>
      <font>
        <sz val="16"/>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5" sqref="A1:M1">
    <dxf>
      <fill>
        <patternFill>
          <bgColor rgb="FF00B0F0"/>
        </patternFill>
      </fill>
    </dxf>
  </rfmt>
  <rfmt sheetId="45" sqref="A1:M1" start="0" length="0">
    <dxf>
      <border>
        <top style="medium">
          <color indexed="64"/>
        </top>
      </border>
    </dxf>
  </rfmt>
  <rfmt sheetId="45" sqref="M1" start="0" length="0">
    <dxf>
      <border>
        <right style="medium">
          <color indexed="64"/>
        </right>
      </border>
    </dxf>
  </rfmt>
  <rfmt sheetId="45" sqref="A1:M1" start="0" length="0">
    <dxf>
      <border>
        <bottom style="medium">
          <color indexed="64"/>
        </bottom>
      </border>
    </dxf>
  </rfmt>
  <rfmt sheetId="45" sqref="A1:M1" start="0" length="2147483647">
    <dxf>
      <font>
        <sz val="18"/>
      </font>
    </dxf>
  </rfmt>
  <rfmt sheetId="45" sqref="A1:M1" start="0" length="2147483647">
    <dxf>
      <font>
        <sz val="16"/>
      </font>
    </dxf>
  </rfmt>
  <rm rId="12390" sheetId="45" source="M1" destination="R12" sourceSheetId="45"/>
  <rrc rId="12391" sId="45" ref="A12:XFD12" action="deleteRow">
    <rfmt sheetId="45" xfDxf="1" sqref="A12:XFD12" start="0" length="0"/>
    <rfmt sheetId="45" sqref="R12" start="0" length="0">
      <dxf>
        <font>
          <sz val="16"/>
          <color theme="1"/>
          <name val="Calibri"/>
          <scheme val="minor"/>
        </font>
        <fill>
          <patternFill patternType="solid">
            <bgColor rgb="FF00B0F0"/>
          </patternFill>
        </fill>
        <border outline="0">
          <right style="medium">
            <color indexed="64"/>
          </right>
          <top style="medium">
            <color indexed="64"/>
          </top>
          <bottom style="medium">
            <color indexed="64"/>
          </bottom>
        </border>
      </dxf>
    </rfmt>
  </rrc>
  <rfmt sheetId="45" sqref="L1" start="0" length="0">
    <dxf>
      <border>
        <right style="medium">
          <color indexed="64"/>
        </right>
      </border>
    </dxf>
  </rfmt>
  <rrc rId="12392" sId="45" eol="1" ref="A2:XFD2" action="insertRow"/>
  <rcc rId="12393" sId="45" odxf="1" dxf="1" numFmtId="19">
    <nc r="L2">
      <v>43588</v>
    </nc>
    <odxf>
      <numFmt numFmtId="0" formatCode="General"/>
    </odxf>
    <ndxf>
      <numFmt numFmtId="19" formatCode="dd/mm/yyyy"/>
    </ndxf>
  </rcc>
  <rfmt sheetId="45" sqref="L2" start="0" length="2147483647">
    <dxf>
      <font>
        <color rgb="FFFF0000"/>
      </font>
    </dxf>
  </rfmt>
  <rfmt sheetId="45" sqref="L2" start="0" length="2147483647">
    <dxf>
      <font>
        <color theme="1"/>
      </font>
    </dxf>
  </rfmt>
  <rfmt sheetId="45" sqref="L2">
    <dxf>
      <fill>
        <patternFill patternType="solid">
          <bgColor rgb="FFFFC000"/>
        </patternFill>
      </fill>
    </dxf>
  </rfmt>
  <rrc rId="12394" sId="45" eol="1" ref="A3:XFD3" action="insertRow"/>
  <rcc rId="12395" sId="45">
    <nc r="A3" t="inlineStr">
      <is>
        <t>FIBRA №1</t>
      </is>
    </nc>
  </rcc>
  <rfmt sheetId="45" sqref="A3" start="0" length="2147483647">
    <dxf>
      <font>
        <sz val="20"/>
      </font>
    </dxf>
  </rfmt>
  <rfmt sheetId="45" sqref="A3:B3" start="0" length="2147483647">
    <dxf>
      <font>
        <sz val="36"/>
      </font>
    </dxf>
  </rfmt>
  <rfmt sheetId="45" sqref="E7" start="0" length="0">
    <dxf>
      <border outline="0">
        <right/>
      </border>
    </dxf>
  </rfmt>
  <rfmt sheetId="45" sqref="E8" start="0" length="0">
    <dxf>
      <border outline="0">
        <right/>
      </border>
    </dxf>
  </rfmt>
  <rfmt sheetId="45" sqref="E9" start="0" length="0">
    <dxf>
      <border outline="0">
        <right/>
      </border>
    </dxf>
  </rfmt>
  <rfmt sheetId="45" sqref="E10" start="0" length="0">
    <dxf>
      <border outline="0">
        <right/>
      </border>
    </dxf>
  </rfmt>
  <rfmt sheetId="45" sqref="E11" start="0" length="0">
    <dxf>
      <border outline="0">
        <right/>
      </border>
    </dxf>
  </rfmt>
  <rfmt sheetId="45" sqref="E12" start="0" length="0">
    <dxf>
      <border outline="0">
        <right/>
        <bottom/>
      </border>
    </dxf>
  </rfmt>
  <rfmt sheetId="45" sqref="E14" start="0" length="0">
    <dxf>
      <border outline="0">
        <right/>
      </border>
    </dxf>
  </rfmt>
  <rfmt sheetId="45" sqref="E15" start="0" length="0">
    <dxf>
      <border outline="0">
        <right/>
      </border>
    </dxf>
  </rfmt>
  <rfmt sheetId="45" sqref="E16" start="0" length="0">
    <dxf>
      <border outline="0">
        <right/>
      </border>
    </dxf>
  </rfmt>
  <rfmt sheetId="45" sqref="E17" start="0" length="0">
    <dxf>
      <border outline="0">
        <right/>
      </border>
    </dxf>
  </rfmt>
  <rfmt sheetId="45" sqref="E18" start="0" length="0">
    <dxf>
      <border outline="0">
        <right/>
      </border>
    </dxf>
  </rfmt>
  <rfmt sheetId="45" sqref="E19" start="0" length="0">
    <dxf>
      <border outline="0">
        <right/>
      </border>
    </dxf>
  </rfmt>
  <rfmt sheetId="45" sqref="E20" start="0" length="0">
    <dxf>
      <border outline="0">
        <right/>
      </border>
    </dxf>
  </rfmt>
  <rfmt sheetId="45" sqref="E21" start="0" length="0">
    <dxf>
      <border outline="0">
        <right/>
      </border>
    </dxf>
  </rfmt>
  <rfmt sheetId="45" sqref="E22" start="0" length="0">
    <dxf>
      <border outline="0">
        <right/>
        <bottom/>
      </border>
    </dxf>
  </rfmt>
  <rfmt sheetId="45" sqref="E33" start="0" length="0">
    <dxf>
      <border outline="0">
        <right/>
      </border>
    </dxf>
  </rfmt>
  <rfmt sheetId="45" sqref="E34" start="0" length="0">
    <dxf>
      <border outline="0">
        <right/>
      </border>
    </dxf>
  </rfmt>
  <rfmt sheetId="45" sqref="E35" start="0" length="0">
    <dxf>
      <border outline="0">
        <right/>
      </border>
    </dxf>
  </rfmt>
  <rfmt sheetId="45" sqref="E36" start="0" length="0">
    <dxf>
      <border outline="0">
        <right/>
        <bottom/>
      </border>
    </dxf>
  </rfmt>
  <rcc rId="12396" sId="45" xfDxf="1" dxf="1">
    <nc r="A5" t="inlineStr">
      <is>
        <t>НАИМЕНОВАНИЕ</t>
      </is>
    </nc>
    <ndxf>
      <font>
        <b/>
        <sz val="10"/>
      </font>
      <alignment horizontal="center" vertical="top" wrapText="1" readingOrder="0"/>
      <border outline="0">
        <left style="medium">
          <color indexed="64"/>
        </left>
        <right style="medium">
          <color indexed="64"/>
        </right>
        <top style="medium">
          <color indexed="64"/>
        </top>
        <bottom style="medium">
          <color indexed="64"/>
        </bottom>
      </border>
    </ndxf>
  </rcc>
  <rcc rId="12397" sId="45" xfDxf="1" dxf="1">
    <nc r="B5" t="inlineStr">
      <is>
        <t>УПАКОВКА</t>
      </is>
    </nc>
    <ndxf>
      <font>
        <b/>
        <sz val="10"/>
      </font>
      <alignment horizontal="center" vertical="top" wrapText="1" readingOrder="0"/>
      <border outline="0">
        <right style="medium">
          <color indexed="64"/>
        </right>
        <top style="medium">
          <color indexed="64"/>
        </top>
        <bottom style="medium">
          <color indexed="64"/>
        </bottom>
      </border>
    </ndxf>
  </rcc>
  <rcc rId="12398" sId="45" xfDxf="1" dxf="1">
    <nc r="C5" t="inlineStr">
      <is>
        <t xml:space="preserve"> ЦЕНА ЗА ЕДИНИЦУ</t>
      </is>
    </nc>
    <ndxf>
      <font>
        <b/>
        <sz val="10"/>
      </font>
      <alignment horizontal="center" vertical="top" wrapText="1" readingOrder="0"/>
      <border outline="0">
        <right style="medium">
          <color indexed="64"/>
        </right>
        <top style="medium">
          <color indexed="64"/>
        </top>
        <bottom style="medium">
          <color indexed="64"/>
        </bottom>
      </border>
    </ndxf>
  </rcc>
  <rcc rId="12399" sId="45" xfDxf="1" dxf="1">
    <nc r="D5" t="inlineStr">
      <is>
        <t>РАСХОД</t>
      </is>
    </nc>
    <ndxf>
      <font>
        <b/>
        <sz val="10"/>
      </font>
      <alignment horizontal="center" vertical="top" wrapText="1" readingOrder="0"/>
      <border outline="0">
        <right style="medium">
          <color indexed="64"/>
        </right>
        <top style="medium">
          <color indexed="64"/>
        </top>
        <bottom style="medium">
          <color indexed="64"/>
        </bottom>
      </border>
    </ndxf>
  </rcc>
  <rcc rId="12400" sId="45" xfDxf="1" dxf="1">
    <nc r="E5" t="inlineStr">
      <is>
        <t>ОБЛАСТЬ ПРИМЕНЕНИЯ</t>
      </is>
    </nc>
    <ndxf>
      <font>
        <b/>
        <sz val="10"/>
      </font>
      <alignment horizontal="center" vertical="top" wrapText="1" readingOrder="0"/>
      <border outline="0">
        <right style="medium">
          <color indexed="64"/>
        </right>
        <top style="medium">
          <color indexed="64"/>
        </top>
        <bottom style="medium">
          <color indexed="64"/>
        </bottom>
      </border>
    </ndxf>
  </rcc>
  <rfmt sheetId="45" xfDxf="1" sqref="A6" start="0" length="0">
    <dxf>
      <font>
        <b/>
      </font>
      <alignment vertical="top" wrapText="1" readingOrder="0"/>
      <border outline="0">
        <left style="medium">
          <color indexed="64"/>
        </left>
        <right style="medium">
          <color indexed="64"/>
        </right>
      </border>
    </dxf>
  </rfmt>
  <rfmt sheetId="45" xfDxf="1" sqref="B6" start="0" length="0">
    <dxf>
      <font>
        <sz val="9"/>
      </font>
      <alignment horizontal="center" vertical="top" wrapText="1" readingOrder="0"/>
      <border outline="0">
        <right style="medium">
          <color indexed="64"/>
        </right>
      </border>
    </dxf>
  </rfmt>
  <rfmt sheetId="45" xfDxf="1" sqref="C6" start="0" length="0">
    <dxf>
      <font>
        <sz val="9"/>
      </font>
      <alignment horizontal="center" vertical="top" wrapText="1" readingOrder="0"/>
      <border outline="0">
        <right style="medium">
          <color indexed="64"/>
        </right>
      </border>
    </dxf>
  </rfmt>
  <rfmt sheetId="45" xfDxf="1" sqref="D6" start="0" length="0">
    <dxf>
      <font>
        <sz val="9"/>
      </font>
      <alignment horizontal="center" vertical="top" wrapText="1" readingOrder="0"/>
      <border outline="0">
        <right style="medium">
          <color indexed="64"/>
        </right>
      </border>
    </dxf>
  </rfmt>
  <rcc rId="12401" sId="45" xfDxf="1" dxf="1">
    <nc r="E6" t="inlineStr">
      <is>
        <t>Применяется для устройства бетонных полов, полусухой стяжки пола, бетонов, ячеистых бетонов, в производстве пеноблоков. Предотвращает микрорастрескивание, повышает устойчивость к истиранию. Заменяет металлическую сетку.</t>
      </is>
    </nc>
    <ndxf>
      <font>
        <sz val="9"/>
      </font>
      <alignment horizontal="justify" wrapText="1" mergeCell="1" readingOrder="0"/>
      <border outline="0">
        <left style="medium">
          <color indexed="64"/>
        </left>
        <right style="medium">
          <color indexed="64"/>
        </right>
        <top style="medium">
          <color indexed="64"/>
        </top>
      </border>
    </ndxf>
  </rcc>
  <rcc rId="12402" sId="45" xfDxf="1" dxf="1">
    <nc r="A7" t="inlineStr">
      <is>
        <t>FIBRAGOLD</t>
      </is>
    </nc>
    <ndxf>
      <font>
        <b/>
        <sz val="16"/>
      </font>
      <alignment vertical="top" wrapText="1" readingOrder="0"/>
      <border outline="0">
        <left style="medium">
          <color indexed="64"/>
        </left>
        <right style="medium">
          <color indexed="64"/>
        </right>
      </border>
    </ndxf>
  </rcc>
  <rcc rId="12403" sId="45" xfDxf="1" dxf="1">
    <nc r="B7" t="inlineStr">
      <is>
        <t>мешок 15 кг</t>
      </is>
    </nc>
    <ndxf>
      <font>
        <sz val="9"/>
      </font>
      <alignment horizontal="center" vertical="top" wrapText="1" readingOrder="0"/>
      <border outline="0">
        <right style="medium">
          <color indexed="64"/>
        </right>
      </border>
    </ndxf>
  </rcc>
  <rcc rId="12404" sId="45" xfDxf="1" dxf="1">
    <nc r="C7" t="inlineStr">
      <is>
        <t>217руб/кг</t>
      </is>
    </nc>
    <ndxf>
      <font>
        <sz val="9"/>
      </font>
      <alignment horizontal="center" vertical="top" wrapText="1" readingOrder="0"/>
      <border outline="0">
        <right style="medium">
          <color indexed="64"/>
        </right>
      </border>
    </ndxf>
  </rcc>
  <rcc rId="12405" sId="45" xfDxf="1" dxf="1">
    <nc r="D7" t="inlineStr">
      <is>
        <t>0,5-1 кг/</t>
      </is>
    </nc>
    <ndxf>
      <font>
        <sz val="9"/>
      </font>
      <alignment horizontal="center" vertical="top" wrapText="1" readingOrder="0"/>
      <border outline="0">
        <right style="medium">
          <color indexed="64"/>
        </right>
      </border>
    </ndxf>
  </rcc>
  <rfmt sheetId="45" xfDxf="1" sqref="E7" start="0" length="0">
    <dxf>
      <font>
        <sz val="9"/>
      </font>
      <alignment horizontal="justify" wrapText="1" mergeCell="1" readingOrder="0"/>
      <border outline="0">
        <left style="medium">
          <color indexed="64"/>
        </left>
        <right style="medium">
          <color indexed="64"/>
        </right>
      </border>
    </dxf>
  </rfmt>
  <rcc rId="12406" sId="45" xfDxf="1" dxf="1">
    <nc r="A8" t="inlineStr">
      <is>
        <t>ВЫСОКОПРОЧНОЕ фиброволокно полипропиленовое</t>
      </is>
    </nc>
    <ndxf>
      <font>
        <sz val="9"/>
      </font>
      <alignment vertical="top" wrapText="1" readingOrder="0"/>
      <border outline="0">
        <left style="medium">
          <color indexed="64"/>
        </left>
        <right style="medium">
          <color indexed="64"/>
        </right>
      </border>
    </ndxf>
  </rcc>
  <rfmt sheetId="45" xfDxf="1" sqref="B8" start="0" length="0">
    <dxf>
      <font>
        <sz val="9"/>
      </font>
      <alignment horizontal="center" vertical="top" wrapText="1" readingOrder="0"/>
      <border outline="0">
        <right style="medium">
          <color indexed="64"/>
        </right>
      </border>
    </dxf>
  </rfmt>
  <rcc rId="12407" sId="45" xfDxf="1" dxf="1">
    <nc r="C8" t="inlineStr">
      <is>
        <t>/3255руб/мешок</t>
      </is>
    </nc>
    <ndxf>
      <font>
        <sz val="9"/>
      </font>
      <alignment horizontal="center" vertical="top" wrapText="1" readingOrder="0"/>
      <border outline="0">
        <right style="medium">
          <color indexed="64"/>
        </right>
      </border>
    </ndxf>
  </rcc>
  <rcc rId="12408" sId="45" xfDxf="1" dxf="1">
    <nc r="D8" t="inlineStr">
      <is>
        <t>м3</t>
      </is>
    </nc>
    <ndxf>
      <font>
        <sz val="9"/>
      </font>
      <alignment horizontal="center" vertical="top" wrapText="1" readingOrder="0"/>
      <border outline="0">
        <right style="medium">
          <color indexed="64"/>
        </right>
      </border>
    </ndxf>
  </rcc>
  <rfmt sheetId="45" xfDxf="1" sqref="E8" start="0" length="0">
    <dxf>
      <font>
        <sz val="9"/>
      </font>
      <alignment horizontal="justify" wrapText="1" mergeCell="1" readingOrder="0"/>
      <border outline="0">
        <left style="medium">
          <color indexed="64"/>
        </left>
        <right style="medium">
          <color indexed="64"/>
        </right>
      </border>
    </dxf>
  </rfmt>
  <rcc rId="12409" sId="45" xfDxf="1" dxf="1">
    <nc r="A9" t="inlineStr">
      <is>
        <t>6 мм, 12 мм, 20 мм, 40 мм</t>
      </is>
    </nc>
    <ndxf>
      <font>
        <sz val="9"/>
      </font>
      <alignment vertical="top" wrapText="1" readingOrder="0"/>
      <border outline="0">
        <left style="medium">
          <color indexed="64"/>
        </left>
        <right style="medium">
          <color indexed="64"/>
        </right>
      </border>
    </ndxf>
  </rcc>
  <rfmt sheetId="45" xfDxf="1" sqref="B9" start="0" length="0">
    <dxf>
      <alignment vertical="top" wrapText="1" readingOrder="0"/>
      <border outline="0">
        <right style="medium">
          <color indexed="64"/>
        </right>
        <bottom style="medium">
          <color indexed="64"/>
        </bottom>
      </border>
    </dxf>
  </rfmt>
  <rfmt sheetId="45" xfDxf="1" sqref="C9" start="0" length="0">
    <dxf>
      <alignment vertical="top" wrapText="1" readingOrder="0"/>
      <border outline="0">
        <right style="medium">
          <color indexed="64"/>
        </right>
        <bottom style="medium">
          <color indexed="64"/>
        </bottom>
      </border>
    </dxf>
  </rfmt>
  <rfmt sheetId="45" xfDxf="1" sqref="D9" start="0" length="0">
    <dxf>
      <font>
        <sz val="9"/>
      </font>
      <alignment horizontal="center" vertical="top" wrapText="1" readingOrder="0"/>
      <border outline="0">
        <right style="medium">
          <color indexed="64"/>
        </right>
      </border>
    </dxf>
  </rfmt>
  <rfmt sheetId="45" xfDxf="1" sqref="E9" start="0" length="0">
    <dxf>
      <font>
        <sz val="9"/>
      </font>
      <alignment horizontal="justify" wrapText="1" mergeCell="1" readingOrder="0"/>
      <border outline="0">
        <left style="medium">
          <color indexed="64"/>
        </left>
        <right style="medium">
          <color indexed="64"/>
        </right>
      </border>
    </dxf>
  </rfmt>
  <rfmt sheetId="45" xfDxf="1" sqref="A10" start="0" length="0">
    <dxf>
      <font>
        <sz val="9"/>
      </font>
      <alignment vertical="top" wrapText="1" readingOrder="0"/>
      <border outline="0">
        <left style="medium">
          <color indexed="64"/>
        </left>
        <right style="medium">
          <color indexed="64"/>
        </right>
      </border>
    </dxf>
  </rfmt>
  <rfmt sheetId="45" xfDxf="1" sqref="B10" start="0" length="0">
    <dxf>
      <font>
        <sz val="9"/>
      </font>
      <alignment horizontal="center" vertical="top" wrapText="1" readingOrder="0"/>
      <border outline="0">
        <right style="medium">
          <color indexed="64"/>
        </right>
      </border>
    </dxf>
  </rfmt>
  <rfmt sheetId="45" xfDxf="1" sqref="C10" start="0" length="0">
    <dxf>
      <font>
        <sz val="9"/>
      </font>
      <alignment horizontal="center" vertical="top" wrapText="1" readingOrder="0"/>
      <border outline="0">
        <right style="medium">
          <color indexed="64"/>
        </right>
      </border>
    </dxf>
  </rfmt>
  <rcc rId="12410" sId="45" xfDxf="1" dxf="1">
    <nc r="D10" t="inlineStr">
      <is>
        <t>60 гр/25 кг</t>
      </is>
    </nc>
    <ndxf>
      <font>
        <sz val="9"/>
      </font>
      <alignment horizontal="center" vertical="top" wrapText="1" readingOrder="0"/>
      <border outline="0">
        <right style="medium">
          <color indexed="64"/>
        </right>
      </border>
    </ndxf>
  </rcc>
  <rfmt sheetId="45" xfDxf="1" sqref="E10" start="0" length="0">
    <dxf>
      <font>
        <sz val="9"/>
      </font>
      <alignment horizontal="justify" wrapText="1" mergeCell="1" readingOrder="0"/>
      <border outline="0">
        <left style="medium">
          <color indexed="64"/>
        </left>
        <right style="medium">
          <color indexed="64"/>
        </right>
      </border>
    </dxf>
  </rfmt>
  <rfmt sheetId="45" xfDxf="1" sqref="A11" start="0" length="0">
    <dxf>
      <alignment vertical="top" wrapText="1" readingOrder="0"/>
      <border outline="0">
        <left style="medium">
          <color indexed="64"/>
        </left>
        <right style="medium">
          <color indexed="64"/>
        </right>
      </border>
    </dxf>
  </rfmt>
  <rcc rId="12411" sId="45" xfDxf="1" dxf="1">
    <nc r="B11" t="inlineStr">
      <is>
        <t>гофрокороб</t>
      </is>
    </nc>
    <ndxf>
      <font>
        <sz val="9"/>
      </font>
      <alignment horizontal="center" vertical="top" wrapText="1" readingOrder="0"/>
      <border outline="0">
        <right style="medium">
          <color indexed="64"/>
        </right>
      </border>
    </ndxf>
  </rcc>
  <rcc rId="12412" sId="45" xfDxf="1" dxf="1">
    <nc r="C11" t="inlineStr">
      <is>
        <t>130 руб/пакет</t>
      </is>
    </nc>
    <ndxf>
      <font>
        <sz val="9"/>
      </font>
      <alignment horizontal="center" vertical="top" wrapText="1" readingOrder="0"/>
      <border outline="0">
        <right style="medium">
          <color indexed="64"/>
        </right>
      </border>
    </ndxf>
  </rcc>
  <rfmt sheetId="45" xfDxf="1" sqref="D11" start="0" length="0">
    <dxf>
      <alignment vertical="top" wrapText="1" readingOrder="0"/>
      <border outline="0">
        <right style="medium">
          <color indexed="64"/>
        </right>
      </border>
    </dxf>
  </rfmt>
  <rfmt sheetId="45" xfDxf="1" sqref="E11" start="0" length="0">
    <dxf>
      <font>
        <sz val="9"/>
      </font>
      <alignment horizontal="justify" wrapText="1" mergeCell="1" readingOrder="0"/>
      <border outline="0">
        <left style="medium">
          <color indexed="64"/>
        </left>
        <right style="medium">
          <color indexed="64"/>
        </right>
      </border>
    </dxf>
  </rfmt>
  <rfmt sheetId="45" xfDxf="1" sqref="A12" start="0" length="0">
    <dxf>
      <alignment vertical="top" wrapText="1" readingOrder="0"/>
      <border outline="0">
        <left style="medium">
          <color indexed="64"/>
        </left>
        <right style="medium">
          <color indexed="64"/>
        </right>
        <bottom style="medium">
          <color indexed="64"/>
        </bottom>
      </border>
    </dxf>
  </rfmt>
  <rcc rId="12413" sId="45" xfDxf="1" dxf="1">
    <nc r="B12" t="inlineStr">
      <is>
        <t>15 пакетов по 0,5 кг</t>
      </is>
    </nc>
    <ndxf>
      <font>
        <sz val="9"/>
      </font>
      <alignment horizontal="center" vertical="top" wrapText="1" readingOrder="0"/>
      <border outline="0">
        <right style="medium">
          <color indexed="64"/>
        </right>
        <bottom style="medium">
          <color indexed="64"/>
        </bottom>
      </border>
    </ndxf>
  </rcc>
  <rcc rId="12414" sId="45" xfDxf="1" dxf="1">
    <nc r="C12" t="inlineStr">
      <is>
        <t>/1950 руб/короб</t>
      </is>
    </nc>
    <ndxf>
      <font>
        <sz val="9"/>
      </font>
      <alignment horizontal="center" vertical="top" wrapText="1" readingOrder="0"/>
      <border outline="0">
        <right style="medium">
          <color indexed="64"/>
        </right>
        <bottom style="medium">
          <color indexed="64"/>
        </bottom>
      </border>
    </ndxf>
  </rcc>
  <rfmt sheetId="45" xfDxf="1" sqref="D12" start="0" length="0">
    <dxf>
      <alignment vertical="top" wrapText="1" readingOrder="0"/>
      <border outline="0">
        <right style="medium">
          <color indexed="64"/>
        </right>
        <bottom style="medium">
          <color indexed="64"/>
        </bottom>
      </border>
    </dxf>
  </rfmt>
  <rfmt sheetId="45" xfDxf="1" sqref="E12" start="0" length="0">
    <dxf>
      <font>
        <sz val="9"/>
      </font>
      <alignment horizontal="justify" wrapText="1" mergeCell="1" readingOrder="0"/>
      <border outline="0">
        <left style="medium">
          <color indexed="64"/>
        </left>
        <right style="medium">
          <color indexed="64"/>
        </right>
        <bottom style="medium">
          <color indexed="64"/>
        </bottom>
      </border>
    </dxf>
  </rfmt>
  <rfmt sheetId="45" xfDxf="1" sqref="A13" start="0" length="0">
    <dxf>
      <font>
        <b/>
        <sz val="16"/>
      </font>
      <alignment vertical="top" wrapText="1" readingOrder="0"/>
      <border outline="0">
        <left style="medium">
          <color indexed="64"/>
        </left>
        <right style="medium">
          <color indexed="64"/>
        </right>
      </border>
    </dxf>
  </rfmt>
  <rfmt sheetId="45" xfDxf="1" sqref="B13" start="0" length="0">
    <dxf>
      <font>
        <sz val="9"/>
      </font>
      <alignment horizontal="center" vertical="top" wrapText="1" readingOrder="0"/>
      <border outline="0">
        <right style="medium">
          <color indexed="64"/>
        </right>
      </border>
    </dxf>
  </rfmt>
  <rfmt sheetId="45" xfDxf="1" sqref="C13" start="0" length="0">
    <dxf>
      <font>
        <sz val="9"/>
      </font>
      <alignment horizontal="center" vertical="top" wrapText="1" readingOrder="0"/>
      <border outline="0">
        <right style="medium">
          <color indexed="64"/>
        </right>
      </border>
    </dxf>
  </rfmt>
  <rfmt sheetId="45" xfDxf="1" sqref="D13" start="0" length="0">
    <dxf>
      <font>
        <sz val="9"/>
      </font>
      <alignment horizontal="center" vertical="top" wrapText="1" readingOrder="0"/>
      <border outline="0">
        <right style="medium">
          <color indexed="64"/>
        </right>
      </border>
    </dxf>
  </rfmt>
  <rcc rId="12415" sId="45" xfDxf="1" dxf="1">
    <nc r="E13" t="inlineStr">
      <is>
        <t>Рекомендуем к применению для устройства бетонных полов, фундаментов, асфальтов, битумных составов. Предотвращает микрорастрескивание, повышает устойчивость к истиранию.Заменяет металлическую сетку.</t>
      </is>
    </nc>
    <ndxf>
      <font>
        <sz val="9"/>
      </font>
      <alignment horizontal="justify" wrapText="1" mergeCell="1" readingOrder="0"/>
      <border outline="0">
        <left style="medium">
          <color indexed="64"/>
        </left>
        <right style="medium">
          <color indexed="64"/>
        </right>
        <top style="medium">
          <color indexed="64"/>
        </top>
      </border>
    </ndxf>
  </rcc>
  <rcc rId="12416" sId="45" xfDxf="1" dxf="1">
    <nc r="A14" t="inlineStr">
      <is>
        <t>FIBRAPLATINUM</t>
      </is>
    </nc>
    <ndxf>
      <font>
        <b/>
        <sz val="16"/>
      </font>
      <alignment vertical="top" wrapText="1" readingOrder="0"/>
      <border outline="0">
        <left style="medium">
          <color indexed="64"/>
        </left>
        <right style="medium">
          <color indexed="64"/>
        </right>
      </border>
    </ndxf>
  </rcc>
  <rfmt sheetId="45" xfDxf="1" sqref="B14" start="0" length="0">
    <dxf>
      <font>
        <sz val="9"/>
      </font>
      <alignment horizontal="center" vertical="top" wrapText="1" readingOrder="0"/>
      <border outline="0">
        <right style="medium">
          <color indexed="64"/>
        </right>
      </border>
    </dxf>
  </rfmt>
  <rcc rId="12417" sId="45" xfDxf="1" dxf="1">
    <nc r="C14" t="inlineStr">
      <is>
        <t>217руб/кг/</t>
      </is>
    </nc>
    <ndxf>
      <font>
        <sz val="9"/>
      </font>
      <alignment horizontal="center" vertical="top" wrapText="1" readingOrder="0"/>
      <border outline="0">
        <right style="medium">
          <color indexed="64"/>
        </right>
      </border>
    </ndxf>
  </rcc>
  <rfmt sheetId="45" xfDxf="1" sqref="D14" start="0" length="0">
    <dxf>
      <font>
        <sz val="9"/>
      </font>
      <alignment horizontal="center" vertical="top" wrapText="1" readingOrder="0"/>
      <border outline="0">
        <right style="medium">
          <color indexed="64"/>
        </right>
      </border>
    </dxf>
  </rfmt>
  <rfmt sheetId="45" xfDxf="1" sqref="E14" start="0" length="0">
    <dxf>
      <font>
        <sz val="9"/>
      </font>
      <alignment horizontal="justify" wrapText="1" mergeCell="1" readingOrder="0"/>
      <border outline="0">
        <left style="medium">
          <color indexed="64"/>
        </left>
        <right style="medium">
          <color indexed="64"/>
        </right>
      </border>
    </dxf>
  </rfmt>
  <rcc rId="12418" sId="45" xfDxf="1" dxf="1">
    <nc r="A15" t="inlineStr">
      <is>
        <t>ВЫСОКОПРОЧНОЕ фиброволокно полиэфирное</t>
      </is>
    </nc>
    <ndxf>
      <font>
        <sz val="9"/>
      </font>
      <alignment vertical="top" wrapText="1" readingOrder="0"/>
      <border outline="0">
        <left style="medium">
          <color indexed="64"/>
        </left>
        <right style="medium">
          <color indexed="64"/>
        </right>
      </border>
    </ndxf>
  </rcc>
  <rcc rId="12419" sId="45" xfDxf="1" dxf="1">
    <nc r="B15" t="inlineStr">
      <is>
        <t>мешок 15 кг</t>
      </is>
    </nc>
    <ndxf>
      <font>
        <sz val="9"/>
      </font>
      <alignment horizontal="center" vertical="top" wrapText="1" readingOrder="0"/>
      <border outline="0">
        <right style="medium">
          <color indexed="64"/>
        </right>
      </border>
    </ndxf>
  </rcc>
  <rcc rId="12420" sId="45" xfDxf="1" dxf="1">
    <nc r="C15" t="inlineStr">
      <is>
        <t>3255 руб/мешок</t>
      </is>
    </nc>
    <ndxf>
      <font>
        <sz val="9"/>
      </font>
      <alignment horizontal="center" vertical="top" wrapText="1" readingOrder="0"/>
      <border outline="0">
        <right style="medium">
          <color indexed="64"/>
        </right>
      </border>
    </ndxf>
  </rcc>
  <rcc rId="12421" sId="45" xfDxf="1" dxf="1">
    <nc r="D15" t="inlineStr">
      <is>
        <t>0,5-1 кг/</t>
      </is>
    </nc>
    <ndxf>
      <font>
        <sz val="9"/>
      </font>
      <alignment horizontal="center" vertical="top" wrapText="1" readingOrder="0"/>
      <border outline="0">
        <right style="medium">
          <color indexed="64"/>
        </right>
      </border>
    </ndxf>
  </rcc>
  <rfmt sheetId="45" xfDxf="1" sqref="E15" start="0" length="0">
    <dxf>
      <font>
        <sz val="9"/>
      </font>
      <alignment horizontal="justify" wrapText="1" mergeCell="1" readingOrder="0"/>
      <border outline="0">
        <left style="medium">
          <color indexed="64"/>
        </left>
        <right style="medium">
          <color indexed="64"/>
        </right>
      </border>
    </dxf>
  </rfmt>
  <rcc rId="12422" sId="45" xfDxf="1" dxf="1">
    <nc r="A16" t="inlineStr">
      <is>
        <t>6 мм, 12 мм, 20 мм, 40 мм</t>
      </is>
    </nc>
    <ndxf>
      <font>
        <sz val="9"/>
      </font>
      <alignment vertical="top" wrapText="1" readingOrder="0"/>
      <border outline="0">
        <left style="medium">
          <color indexed="64"/>
        </left>
        <right style="medium">
          <color indexed="64"/>
        </right>
      </border>
    </ndxf>
  </rcc>
  <rfmt sheetId="45" xfDxf="1" sqref="B16" start="0" length="0">
    <dxf>
      <font>
        <sz val="9"/>
      </font>
      <alignment horizontal="center" vertical="top" wrapText="1" readingOrder="0"/>
      <border outline="0">
        <right style="medium">
          <color indexed="64"/>
        </right>
      </border>
    </dxf>
  </rfmt>
  <rfmt sheetId="45" xfDxf="1" sqref="C16" start="0" length="0">
    <dxf>
      <alignment vertical="top" wrapText="1" readingOrder="0"/>
      <border outline="0">
        <right style="medium">
          <color indexed="64"/>
        </right>
      </border>
    </dxf>
  </rfmt>
  <rcc rId="12423" sId="45" xfDxf="1" dxf="1">
    <nc r="D16" t="inlineStr">
      <is>
        <t>м3</t>
      </is>
    </nc>
    <ndxf>
      <font>
        <sz val="9"/>
      </font>
      <alignment horizontal="center" vertical="top" wrapText="1" readingOrder="0"/>
      <border outline="0">
        <right style="medium">
          <color indexed="64"/>
        </right>
      </border>
    </ndxf>
  </rcc>
  <rfmt sheetId="45" xfDxf="1" sqref="E16" start="0" length="0">
    <dxf>
      <font>
        <sz val="9"/>
      </font>
      <alignment horizontal="justify" wrapText="1" mergeCell="1" readingOrder="0"/>
      <border outline="0">
        <left style="medium">
          <color indexed="64"/>
        </left>
        <right style="medium">
          <color indexed="64"/>
        </right>
      </border>
    </dxf>
  </rfmt>
  <rfmt sheetId="45" xfDxf="1" sqref="A17" start="0" length="0">
    <dxf>
      <alignment vertical="top" wrapText="1" readingOrder="0"/>
      <border outline="0">
        <left style="medium">
          <color indexed="64"/>
        </left>
        <right style="medium">
          <color indexed="64"/>
        </right>
      </border>
    </dxf>
  </rfmt>
  <rfmt sheetId="45" xfDxf="1" sqref="B17" start="0" length="0">
    <dxf>
      <alignment vertical="top" wrapText="1" readingOrder="0"/>
      <border outline="0">
        <right style="medium">
          <color indexed="64"/>
        </right>
      </border>
    </dxf>
  </rfmt>
  <rfmt sheetId="45" xfDxf="1" sqref="C17" start="0" length="0">
    <dxf>
      <alignment vertical="top" wrapText="1" readingOrder="0"/>
      <border outline="0">
        <right style="medium">
          <color indexed="64"/>
        </right>
      </border>
    </dxf>
  </rfmt>
  <rfmt sheetId="45" xfDxf="1" sqref="D17" start="0" length="0">
    <dxf>
      <font>
        <sz val="9"/>
      </font>
      <alignment horizontal="center" vertical="top" wrapText="1" readingOrder="0"/>
      <border outline="0">
        <right style="medium">
          <color indexed="64"/>
        </right>
      </border>
    </dxf>
  </rfmt>
  <rfmt sheetId="45" xfDxf="1" sqref="E17" start="0" length="0">
    <dxf>
      <font>
        <sz val="9"/>
      </font>
      <alignment horizontal="justify" wrapText="1" mergeCell="1" readingOrder="0"/>
      <border outline="0">
        <left style="medium">
          <color indexed="64"/>
        </left>
        <right style="medium">
          <color indexed="64"/>
        </right>
      </border>
    </dxf>
  </rfmt>
  <rfmt sheetId="45" xfDxf="1" sqref="A18" start="0" length="0">
    <dxf>
      <alignment vertical="top" wrapText="1" readingOrder="0"/>
      <border outline="0">
        <left style="medium">
          <color indexed="64"/>
        </left>
        <right style="medium">
          <color indexed="64"/>
        </right>
      </border>
    </dxf>
  </rfmt>
  <rfmt sheetId="45" xfDxf="1" sqref="B18" start="0" length="0">
    <dxf>
      <alignment vertical="top" wrapText="1" readingOrder="0"/>
      <border outline="0">
        <right style="medium">
          <color indexed="64"/>
        </right>
        <bottom style="medium">
          <color indexed="64"/>
        </bottom>
      </border>
    </dxf>
  </rfmt>
  <rfmt sheetId="45" xfDxf="1" sqref="C18" start="0" length="0">
    <dxf>
      <alignment vertical="top" wrapText="1" readingOrder="0"/>
      <border outline="0">
        <right style="medium">
          <color indexed="64"/>
        </right>
        <bottom style="medium">
          <color indexed="64"/>
        </bottom>
      </border>
    </dxf>
  </rfmt>
  <rcc rId="12424" sId="45" xfDxf="1" dxf="1">
    <nc r="D18" t="inlineStr">
      <is>
        <t>60 гр/25 кг</t>
      </is>
    </nc>
    <ndxf>
      <font>
        <sz val="9"/>
      </font>
      <alignment horizontal="center" vertical="top" wrapText="1" readingOrder="0"/>
      <border outline="0">
        <right style="medium">
          <color indexed="64"/>
        </right>
      </border>
    </ndxf>
  </rcc>
  <rfmt sheetId="45" xfDxf="1" sqref="E18" start="0" length="0">
    <dxf>
      <font>
        <sz val="9"/>
      </font>
      <alignment horizontal="justify" wrapText="1" mergeCell="1" readingOrder="0"/>
      <border outline="0">
        <left style="medium">
          <color indexed="64"/>
        </left>
        <right style="medium">
          <color indexed="64"/>
        </right>
      </border>
    </dxf>
  </rfmt>
  <rfmt sheetId="45" xfDxf="1" sqref="A19" start="0" length="0">
    <dxf>
      <alignment vertical="top" wrapText="1" readingOrder="0"/>
      <border outline="0">
        <left style="medium">
          <color indexed="64"/>
        </left>
        <right style="medium">
          <color indexed="64"/>
        </right>
      </border>
    </dxf>
  </rfmt>
  <rfmt sheetId="45" xfDxf="1" sqref="B19" start="0" length="0">
    <dxf>
      <font>
        <sz val="9"/>
      </font>
      <alignment horizontal="center" vertical="top" wrapText="1" readingOrder="0"/>
      <border outline="0">
        <right style="medium">
          <color indexed="64"/>
        </right>
      </border>
    </dxf>
  </rfmt>
  <rfmt sheetId="45" xfDxf="1" sqref="C19" start="0" length="0">
    <dxf>
      <font>
        <sz val="9"/>
      </font>
      <alignment horizontal="center" vertical="top" wrapText="1" readingOrder="0"/>
      <border outline="0">
        <right style="medium">
          <color indexed="64"/>
        </right>
      </border>
    </dxf>
  </rfmt>
  <rfmt sheetId="45" xfDxf="1" sqref="D19" start="0" length="0">
    <dxf>
      <font>
        <sz val="9"/>
      </font>
      <alignment horizontal="center" vertical="top" wrapText="1" readingOrder="0"/>
      <border outline="0">
        <right style="medium">
          <color indexed="64"/>
        </right>
      </border>
    </dxf>
  </rfmt>
  <rfmt sheetId="45" xfDxf="1" sqref="E19" start="0" length="0">
    <dxf>
      <font>
        <sz val="9"/>
      </font>
      <alignment horizontal="justify" wrapText="1" mergeCell="1" readingOrder="0"/>
      <border outline="0">
        <left style="medium">
          <color indexed="64"/>
        </left>
        <right style="medium">
          <color indexed="64"/>
        </right>
      </border>
    </dxf>
  </rfmt>
  <rfmt sheetId="45" xfDxf="1" sqref="A20" start="0" length="0">
    <dxf>
      <alignment vertical="top" wrapText="1" readingOrder="0"/>
      <border outline="0">
        <left style="medium">
          <color indexed="64"/>
        </left>
        <right style="medium">
          <color indexed="64"/>
        </right>
      </border>
    </dxf>
  </rfmt>
  <rcc rId="12425" sId="45" xfDxf="1" dxf="1">
    <nc r="B20" t="inlineStr">
      <is>
        <t>гофрокороб</t>
      </is>
    </nc>
    <ndxf>
      <font>
        <sz val="9"/>
      </font>
      <alignment horizontal="center" vertical="top" wrapText="1" readingOrder="0"/>
      <border outline="0">
        <right style="medium">
          <color indexed="64"/>
        </right>
      </border>
    </ndxf>
  </rcc>
  <rcc rId="12426" sId="45" xfDxf="1" dxf="1">
    <nc r="C20" t="inlineStr">
      <is>
        <t>130 руб/пакет/</t>
      </is>
    </nc>
    <ndxf>
      <font>
        <sz val="9"/>
      </font>
      <alignment horizontal="center" vertical="top" wrapText="1" readingOrder="0"/>
      <border outline="0">
        <right style="medium">
          <color indexed="64"/>
        </right>
      </border>
    </ndxf>
  </rcc>
  <rfmt sheetId="45" xfDxf="1" sqref="D20" start="0" length="0">
    <dxf>
      <alignment vertical="top" wrapText="1" readingOrder="0"/>
      <border outline="0">
        <right style="medium">
          <color indexed="64"/>
        </right>
      </border>
    </dxf>
  </rfmt>
  <rfmt sheetId="45" xfDxf="1" sqref="E20" start="0" length="0">
    <dxf>
      <font>
        <sz val="9"/>
      </font>
      <alignment horizontal="justify" wrapText="1" mergeCell="1" readingOrder="0"/>
      <border outline="0">
        <left style="medium">
          <color indexed="64"/>
        </left>
        <right style="medium">
          <color indexed="64"/>
        </right>
      </border>
    </dxf>
  </rfmt>
  <rfmt sheetId="45" xfDxf="1" sqref="A21" start="0" length="0">
    <dxf>
      <alignment vertical="top" wrapText="1" readingOrder="0"/>
      <border outline="0">
        <left style="medium">
          <color indexed="64"/>
        </left>
        <right style="medium">
          <color indexed="64"/>
        </right>
      </border>
    </dxf>
  </rfmt>
  <rcc rId="12427" sId="45" xfDxf="1" dxf="1">
    <nc r="B21" t="inlineStr">
      <is>
        <t>15 пакетов по 0,5 кг</t>
      </is>
    </nc>
    <ndxf>
      <font>
        <sz val="9"/>
      </font>
      <alignment horizontal="center" vertical="top" wrapText="1" readingOrder="0"/>
      <border outline="0">
        <right style="medium">
          <color indexed="64"/>
        </right>
      </border>
    </ndxf>
  </rcc>
  <rcc rId="12428" sId="45" xfDxf="1" dxf="1">
    <nc r="C21" t="inlineStr">
      <is>
        <t>1950руб/короб</t>
      </is>
    </nc>
    <ndxf>
      <font>
        <sz val="9"/>
      </font>
      <alignment horizontal="center" vertical="top" wrapText="1" readingOrder="0"/>
      <border outline="0">
        <right style="medium">
          <color indexed="64"/>
        </right>
      </border>
    </ndxf>
  </rcc>
  <rfmt sheetId="45" xfDxf="1" sqref="D21" start="0" length="0">
    <dxf>
      <alignment vertical="top" wrapText="1" readingOrder="0"/>
      <border outline="0">
        <right style="medium">
          <color indexed="64"/>
        </right>
      </border>
    </dxf>
  </rfmt>
  <rfmt sheetId="45" xfDxf="1" sqref="E21" start="0" length="0">
    <dxf>
      <font>
        <sz val="9"/>
      </font>
      <alignment horizontal="justify" wrapText="1" mergeCell="1" readingOrder="0"/>
      <border outline="0">
        <left style="medium">
          <color indexed="64"/>
        </left>
        <right style="medium">
          <color indexed="64"/>
        </right>
      </border>
    </dxf>
  </rfmt>
  <rfmt sheetId="45" xfDxf="1" sqref="A22" start="0" length="0">
    <dxf>
      <alignment vertical="top" wrapText="1" readingOrder="0"/>
      <border outline="0">
        <left style="medium">
          <color indexed="64"/>
        </left>
        <right style="medium">
          <color indexed="64"/>
        </right>
        <bottom style="medium">
          <color indexed="64"/>
        </bottom>
      </border>
    </dxf>
  </rfmt>
  <rfmt sheetId="45" xfDxf="1" sqref="B22" start="0" length="0">
    <dxf>
      <alignment vertical="top" wrapText="1" readingOrder="0"/>
      <border outline="0">
        <right style="medium">
          <color indexed="64"/>
        </right>
        <bottom style="medium">
          <color indexed="64"/>
        </bottom>
      </border>
    </dxf>
  </rfmt>
  <rfmt sheetId="45" xfDxf="1" sqref="C22" start="0" length="0">
    <dxf>
      <font>
        <sz val="9"/>
      </font>
      <alignment horizontal="center" vertical="top" wrapText="1" readingOrder="0"/>
      <border outline="0">
        <right style="medium">
          <color indexed="64"/>
        </right>
        <bottom style="medium">
          <color indexed="64"/>
        </bottom>
      </border>
    </dxf>
  </rfmt>
  <rfmt sheetId="45" xfDxf="1" sqref="D22" start="0" length="0">
    <dxf>
      <alignment vertical="top" wrapText="1" readingOrder="0"/>
      <border outline="0">
        <right style="medium">
          <color indexed="64"/>
        </right>
        <bottom style="medium">
          <color indexed="64"/>
        </bottom>
      </border>
    </dxf>
  </rfmt>
  <rfmt sheetId="45" xfDxf="1" sqref="E22" start="0" length="0">
    <dxf>
      <font>
        <sz val="9"/>
      </font>
      <alignment horizontal="justify" wrapText="1" mergeCell="1" readingOrder="0"/>
      <border outline="0">
        <left style="medium">
          <color indexed="64"/>
        </left>
        <right style="medium">
          <color indexed="64"/>
        </right>
        <bottom style="medium">
          <color indexed="64"/>
        </bottom>
      </border>
    </dxf>
  </rfmt>
  <rfmt sheetId="45" xfDxf="1" sqref="A23" start="0" length="0">
    <dxf>
      <font>
        <b/>
        <sz val="16"/>
      </font>
      <alignment vertical="top" wrapText="1" readingOrder="0"/>
      <border outline="0">
        <left style="medium">
          <color indexed="64"/>
        </left>
        <right style="medium">
          <color indexed="64"/>
        </right>
      </border>
    </dxf>
  </rfmt>
  <rfmt sheetId="45" xfDxf="1" sqref="B23" start="0" length="0">
    <dxf>
      <font>
        <sz val="9"/>
      </font>
      <alignment horizontal="center" vertical="top" wrapText="1" readingOrder="0"/>
      <border outline="0">
        <right style="medium">
          <color indexed="64"/>
        </right>
      </border>
    </dxf>
  </rfmt>
  <rfmt sheetId="45" xfDxf="1" sqref="C23" start="0" length="0">
    <dxf>
      <font>
        <sz val="9"/>
      </font>
      <alignment horizontal="center" vertical="top" wrapText="1" readingOrder="0"/>
      <border outline="0">
        <right style="medium">
          <color indexed="64"/>
        </right>
      </border>
    </dxf>
  </rfmt>
  <rfmt sheetId="45" xfDxf="1" sqref="D23" start="0" length="0">
    <dxf>
      <font>
        <sz val="9"/>
      </font>
      <alignment horizontal="center" vertical="top" wrapText="1" readingOrder="0"/>
      <border outline="0">
        <right style="medium">
          <color indexed="64"/>
        </right>
      </border>
    </dxf>
  </rfmt>
  <rcc rId="12429" sId="45" xfDxf="1" dxf="1">
    <nc r="E23" t="inlineStr">
      <is>
        <t>Армирующая добавка для бетона, стяжек, растворов на цементной и гипсовой основе, асфальта и других битумных материалов:</t>
      </is>
    </nc>
    <ndxf>
      <font>
        <sz val="9"/>
      </font>
      <alignment horizontal="justify" wrapText="1" readingOrder="0"/>
      <border outline="0">
        <right style="medium">
          <color indexed="64"/>
        </right>
      </border>
    </ndxf>
  </rcc>
  <rcc rId="12430" sId="45" xfDxf="1" dxf="1">
    <nc r="A24" t="inlineStr">
      <is>
        <t>FIBRABAZALT</t>
      </is>
    </nc>
    <ndxf>
      <font>
        <b/>
        <sz val="16"/>
      </font>
      <alignment vertical="top" wrapText="1" readingOrder="0"/>
      <border outline="0">
        <left style="medium">
          <color indexed="64"/>
        </left>
        <right style="medium">
          <color indexed="64"/>
        </right>
      </border>
    </ndxf>
  </rcc>
  <rfmt sheetId="45" xfDxf="1" sqref="B24" start="0" length="0">
    <dxf>
      <font>
        <sz val="9"/>
      </font>
      <alignment horizontal="center" vertical="top" wrapText="1" readingOrder="0"/>
      <border outline="0">
        <right style="medium">
          <color indexed="64"/>
        </right>
      </border>
    </dxf>
  </rfmt>
  <rcc rId="12431" sId="45" xfDxf="1" dxf="1">
    <nc r="C24" t="inlineStr">
      <is>
        <t>217руб/кг/</t>
      </is>
    </nc>
    <ndxf>
      <font>
        <sz val="9"/>
      </font>
      <alignment horizontal="center" vertical="top" wrapText="1" readingOrder="0"/>
      <border outline="0">
        <right style="medium">
          <color indexed="64"/>
        </right>
      </border>
    </ndxf>
  </rcc>
  <rfmt sheetId="45" xfDxf="1" sqref="D24" start="0" length="0">
    <dxf>
      <font>
        <sz val="9"/>
      </font>
      <alignment horizontal="center" vertical="top" wrapText="1" readingOrder="0"/>
      <border outline="0">
        <right style="medium">
          <color indexed="64"/>
        </right>
      </border>
    </dxf>
  </rfmt>
  <rcc rId="12432" sId="45" xfDxf="1" dxf="1">
    <nc r="E24" t="inlineStr">
      <is>
        <t>заменяет стальную армирующую сетку;</t>
      </is>
    </nc>
    <ndxf>
      <font>
        <sz val="9"/>
      </font>
      <alignment horizontal="justify" wrapText="1" readingOrder="0"/>
      <border outline="0">
        <right style="medium">
          <color indexed="64"/>
        </right>
      </border>
    </ndxf>
  </rcc>
  <rcc rId="12433" sId="45" xfDxf="1" dxf="1">
    <nc r="A25" t="inlineStr">
      <is>
        <t>ВЫСОКОПРОЧНОЕ фиброволокнобазальтовое</t>
      </is>
    </nc>
    <ndxf>
      <font>
        <sz val="9"/>
      </font>
      <alignment vertical="top" wrapText="1" readingOrder="0"/>
      <border outline="0">
        <left style="medium">
          <color indexed="64"/>
        </left>
        <right style="medium">
          <color indexed="64"/>
        </right>
      </border>
    </ndxf>
  </rcc>
  <rcc rId="12434" sId="45" xfDxf="1" dxf="1">
    <nc r="B25" t="inlineStr">
      <is>
        <t>мешок 15 кг</t>
      </is>
    </nc>
    <ndxf>
      <font>
        <sz val="9"/>
      </font>
      <alignment horizontal="center" vertical="top" wrapText="1" readingOrder="0"/>
      <border outline="0">
        <right style="medium">
          <color indexed="64"/>
        </right>
      </border>
    </ndxf>
  </rcc>
  <rcc rId="12435" sId="45" xfDxf="1" dxf="1">
    <nc r="C25" t="inlineStr">
      <is>
        <t>3255руб/мешок</t>
      </is>
    </nc>
    <ndxf>
      <font>
        <sz val="9"/>
      </font>
      <alignment horizontal="center" vertical="top" wrapText="1" readingOrder="0"/>
      <border outline="0">
        <right style="medium">
          <color indexed="64"/>
        </right>
      </border>
    </ndxf>
  </rcc>
  <rfmt sheetId="45" xfDxf="1" sqref="D25" start="0" length="0">
    <dxf>
      <font>
        <sz val="9"/>
      </font>
      <alignment horizontal="center" vertical="top" wrapText="1" readingOrder="0"/>
      <border outline="0">
        <right style="medium">
          <color indexed="64"/>
        </right>
      </border>
    </dxf>
  </rfmt>
  <rcc rId="12436" sId="45" xfDxf="1" dxf="1">
    <nc r="E25" t="inlineStr">
      <is>
        <t>устойчиво к температурам свыше 1000 С.</t>
      </is>
    </nc>
    <ndxf>
      <font>
        <sz val="9"/>
      </font>
      <alignment horizontal="justify" wrapText="1" readingOrder="0"/>
      <border outline="0">
        <right style="medium">
          <color indexed="64"/>
        </right>
      </border>
    </ndxf>
  </rcc>
  <rcc rId="12437" sId="45" xfDxf="1" dxf="1">
    <nc r="A26" t="inlineStr">
      <is>
        <t>6 мм, 12 мм, 20 мм, 40 мм</t>
      </is>
    </nc>
    <ndxf>
      <font>
        <sz val="9"/>
      </font>
      <alignment vertical="top" wrapText="1" readingOrder="0"/>
      <border outline="0">
        <left style="medium">
          <color indexed="64"/>
        </left>
        <right style="medium">
          <color indexed="64"/>
        </right>
      </border>
    </ndxf>
  </rcc>
  <rfmt sheetId="45" xfDxf="1" sqref="B26" start="0" length="0">
    <dxf>
      <font>
        <sz val="9"/>
      </font>
      <alignment horizontal="center" vertical="top" wrapText="1" readingOrder="0"/>
      <border outline="0">
        <right style="medium">
          <color indexed="64"/>
        </right>
        <bottom style="medium">
          <color indexed="64"/>
        </bottom>
      </border>
    </dxf>
  </rfmt>
  <rfmt sheetId="45" xfDxf="1" sqref="C26" start="0" length="0">
    <dxf>
      <alignment vertical="top" wrapText="1" readingOrder="0"/>
      <border outline="0">
        <right style="medium">
          <color indexed="64"/>
        </right>
        <bottom style="medium">
          <color indexed="64"/>
        </bottom>
      </border>
    </dxf>
  </rfmt>
  <rcc rId="12438" sId="45" xfDxf="1" dxf="1">
    <nc r="D26" t="inlineStr">
      <is>
        <t>1-2 кг/</t>
      </is>
    </nc>
    <ndxf>
      <font>
        <sz val="9"/>
      </font>
      <alignment horizontal="center" vertical="top" wrapText="1" readingOrder="0"/>
      <border outline="0">
        <right style="medium">
          <color indexed="64"/>
        </right>
      </border>
    </ndxf>
  </rcc>
  <rfmt sheetId="45" xfDxf="1" sqref="E26" start="0" length="0">
    <dxf>
      <font>
        <sz val="9"/>
      </font>
      <alignment horizontal="center" wrapText="1" readingOrder="0"/>
      <border outline="0">
        <right style="medium">
          <color indexed="64"/>
        </right>
      </border>
    </dxf>
  </rfmt>
  <rfmt sheetId="45" xfDxf="1" sqref="A27" start="0" length="0">
    <dxf>
      <alignment vertical="top" wrapText="1" readingOrder="0"/>
      <border outline="0">
        <left style="medium">
          <color indexed="64"/>
        </left>
        <right style="medium">
          <color indexed="64"/>
        </right>
      </border>
    </dxf>
  </rfmt>
  <rfmt sheetId="45" xfDxf="1" sqref="B27" start="0" length="0">
    <dxf>
      <font>
        <sz val="9"/>
      </font>
      <alignment horizontal="center" vertical="top" wrapText="1" readingOrder="0"/>
      <border outline="0">
        <right style="medium">
          <color indexed="64"/>
        </right>
      </border>
    </dxf>
  </rfmt>
  <rfmt sheetId="45" xfDxf="1" sqref="C27" start="0" length="0">
    <dxf>
      <font>
        <sz val="9"/>
      </font>
      <alignment horizontal="center" vertical="top" wrapText="1" readingOrder="0"/>
      <border outline="0">
        <right style="medium">
          <color indexed="64"/>
        </right>
      </border>
    </dxf>
  </rfmt>
  <rcc rId="12439" sId="45" xfDxf="1" dxf="1">
    <nc r="D27" t="inlineStr">
      <is>
        <t>м3</t>
      </is>
    </nc>
    <ndxf>
      <font>
        <sz val="9"/>
      </font>
      <alignment horizontal="center" vertical="top" wrapText="1" readingOrder="0"/>
      <border outline="0">
        <right style="medium">
          <color indexed="64"/>
        </right>
      </border>
    </ndxf>
  </rcc>
  <rfmt sheetId="45" xfDxf="1" sqref="E27" start="0" length="0">
    <dxf>
      <alignment wrapText="1" readingOrder="0"/>
      <border outline="0">
        <right style="medium">
          <color indexed="64"/>
        </right>
      </border>
    </dxf>
  </rfmt>
  <rfmt sheetId="45" xfDxf="1" sqref="A28" start="0" length="0">
    <dxf>
      <alignment vertical="top" wrapText="1" readingOrder="0"/>
      <border outline="0">
        <left style="medium">
          <color indexed="64"/>
        </left>
        <right style="medium">
          <color indexed="64"/>
        </right>
      </border>
    </dxf>
  </rfmt>
  <rfmt sheetId="45" xfDxf="1" sqref="B28" start="0" length="0">
    <dxf>
      <font>
        <sz val="9"/>
      </font>
      <alignment horizontal="center" vertical="top" wrapText="1" readingOrder="0"/>
      <border outline="0">
        <right style="medium">
          <color indexed="64"/>
        </right>
      </border>
    </dxf>
  </rfmt>
  <rfmt sheetId="45" xfDxf="1" sqref="C28" start="0" length="0">
    <dxf>
      <font>
        <sz val="9"/>
      </font>
      <alignment horizontal="center" vertical="top" wrapText="1" readingOrder="0"/>
      <border outline="0">
        <right style="medium">
          <color indexed="64"/>
        </right>
      </border>
    </dxf>
  </rfmt>
  <rfmt sheetId="45" xfDxf="1" sqref="D28" start="0" length="0">
    <dxf>
      <alignment vertical="top" wrapText="1" readingOrder="0"/>
      <border outline="0">
        <right style="medium">
          <color indexed="64"/>
        </right>
      </border>
    </dxf>
  </rfmt>
  <rfmt sheetId="45" xfDxf="1" sqref="E28" start="0" length="0">
    <dxf>
      <alignment wrapText="1" readingOrder="0"/>
      <border outline="0">
        <right style="medium">
          <color indexed="64"/>
        </right>
      </border>
    </dxf>
  </rfmt>
  <rfmt sheetId="45" xfDxf="1" sqref="A29" start="0" length="0">
    <dxf>
      <alignment vertical="top" wrapText="1" readingOrder="0"/>
      <border outline="0">
        <left style="medium">
          <color indexed="64"/>
        </left>
        <right style="medium">
          <color indexed="64"/>
        </right>
      </border>
    </dxf>
  </rfmt>
  <rcc rId="12440" sId="45" xfDxf="1" dxf="1">
    <nc r="B29" t="inlineStr">
      <is>
        <t>гофрокороб</t>
      </is>
    </nc>
    <ndxf>
      <font>
        <sz val="9"/>
      </font>
      <alignment horizontal="center" vertical="top" wrapText="1" readingOrder="0"/>
      <border outline="0">
        <right style="medium">
          <color indexed="64"/>
        </right>
      </border>
    </ndxf>
  </rcc>
  <rcc rId="12441" sId="45" xfDxf="1" dxf="1">
    <nc r="C29" t="inlineStr">
      <is>
        <t>190 руб/пакет/</t>
      </is>
    </nc>
    <ndxf>
      <font>
        <sz val="9"/>
      </font>
      <alignment horizontal="center" vertical="top" wrapText="1" readingOrder="0"/>
      <border outline="0">
        <right style="medium">
          <color indexed="64"/>
        </right>
      </border>
    </ndxf>
  </rcc>
  <rfmt sheetId="45" xfDxf="1" sqref="D29" start="0" length="0">
    <dxf>
      <alignment vertical="top" wrapText="1" readingOrder="0"/>
      <border outline="0">
        <right style="medium">
          <color indexed="64"/>
        </right>
      </border>
    </dxf>
  </rfmt>
  <rfmt sheetId="45" xfDxf="1" sqref="E29" start="0" length="0">
    <dxf>
      <alignment wrapText="1" readingOrder="0"/>
      <border outline="0">
        <right style="medium">
          <color indexed="64"/>
        </right>
      </border>
    </dxf>
  </rfmt>
  <rfmt sheetId="45" xfDxf="1" sqref="A30" start="0" length="0">
    <dxf>
      <alignment vertical="top" wrapText="1" readingOrder="0"/>
      <border outline="0">
        <left style="medium">
          <color indexed="64"/>
        </left>
        <right style="medium">
          <color indexed="64"/>
        </right>
      </border>
    </dxf>
  </rfmt>
  <rcc rId="12442" sId="45" xfDxf="1" dxf="1">
    <nc r="B30" t="inlineStr">
      <is>
        <t>10 пакетов по 0,9 кг</t>
      </is>
    </nc>
    <ndxf>
      <font>
        <sz val="9"/>
      </font>
      <alignment horizontal="center" vertical="top" wrapText="1" readingOrder="0"/>
      <border outline="0">
        <right style="medium">
          <color indexed="64"/>
        </right>
      </border>
    </ndxf>
  </rcc>
  <rcc rId="12443" sId="45" xfDxf="1" dxf="1">
    <nc r="C30" t="inlineStr">
      <is>
        <t>1900 руб/короб</t>
      </is>
    </nc>
    <ndxf>
      <font>
        <sz val="9"/>
      </font>
      <alignment horizontal="center" vertical="top" wrapText="1" readingOrder="0"/>
      <border outline="0">
        <right style="medium">
          <color indexed="64"/>
        </right>
      </border>
    </ndxf>
  </rcc>
  <rfmt sheetId="45" xfDxf="1" sqref="D30" start="0" length="0">
    <dxf>
      <alignment vertical="top" wrapText="1" readingOrder="0"/>
      <border outline="0">
        <right style="medium">
          <color indexed="64"/>
        </right>
      </border>
    </dxf>
  </rfmt>
  <rfmt sheetId="45" xfDxf="1" sqref="E30" start="0" length="0">
    <dxf>
      <alignment wrapText="1" readingOrder="0"/>
      <border outline="0">
        <right style="medium">
          <color indexed="64"/>
        </right>
      </border>
    </dxf>
  </rfmt>
  <rfmt sheetId="45" xfDxf="1" sqref="A31" start="0" length="0">
    <dxf>
      <alignment vertical="top" wrapText="1" readingOrder="0"/>
      <border outline="0">
        <left style="medium">
          <color indexed="64"/>
        </left>
        <right style="medium">
          <color indexed="64"/>
        </right>
        <bottom style="medium">
          <color indexed="64"/>
        </bottom>
      </border>
    </dxf>
  </rfmt>
  <rfmt sheetId="45" xfDxf="1" sqref="B31" start="0" length="0">
    <dxf>
      <font>
        <sz val="9"/>
      </font>
      <alignment horizontal="center" vertical="top" wrapText="1" readingOrder="0"/>
      <border outline="0">
        <right style="medium">
          <color indexed="64"/>
        </right>
        <bottom style="medium">
          <color indexed="64"/>
        </bottom>
      </border>
    </dxf>
  </rfmt>
  <rfmt sheetId="45" xfDxf="1" sqref="C31" start="0" length="0">
    <dxf>
      <alignment vertical="top" wrapText="1" readingOrder="0"/>
      <border outline="0">
        <right style="medium">
          <color indexed="64"/>
        </right>
        <bottom style="medium">
          <color indexed="64"/>
        </bottom>
      </border>
    </dxf>
  </rfmt>
  <rfmt sheetId="45" xfDxf="1" sqref="D31" start="0" length="0">
    <dxf>
      <alignment vertical="top" wrapText="1" readingOrder="0"/>
      <border outline="0">
        <right style="medium">
          <color indexed="64"/>
        </right>
        <bottom style="medium">
          <color indexed="64"/>
        </bottom>
      </border>
    </dxf>
  </rfmt>
  <rfmt sheetId="45" xfDxf="1" sqref="E31" start="0" length="0">
    <dxf>
      <alignment wrapText="1" readingOrder="0"/>
      <border outline="0">
        <right style="medium">
          <color indexed="64"/>
        </right>
        <bottom style="medium">
          <color indexed="64"/>
        </bottom>
      </border>
    </dxf>
  </rfmt>
  <rfmt sheetId="45" xfDxf="1" sqref="A32" start="0" length="0">
    <dxf>
      <font>
        <b/>
        <sz val="16"/>
      </font>
      <alignment vertical="top" wrapText="1" readingOrder="0"/>
      <border outline="0">
        <left style="medium">
          <color indexed="64"/>
        </left>
        <right style="medium">
          <color indexed="64"/>
        </right>
      </border>
    </dxf>
  </rfmt>
  <rfmt sheetId="45" xfDxf="1" sqref="B32" start="0" length="0">
    <dxf>
      <font>
        <b/>
      </font>
      <alignment vertical="top" wrapText="1" readingOrder="0"/>
      <border outline="0">
        <right style="medium">
          <color indexed="64"/>
        </right>
      </border>
    </dxf>
  </rfmt>
  <rfmt sheetId="45" xfDxf="1" sqref="C32" start="0" length="0">
    <dxf>
      <font>
        <b/>
      </font>
      <alignment horizontal="center" vertical="top" wrapText="1" readingOrder="0"/>
      <border outline="0">
        <right style="medium">
          <color indexed="64"/>
        </right>
      </border>
    </dxf>
  </rfmt>
  <rfmt sheetId="45" xfDxf="1" sqref="D32" start="0" length="0">
    <dxf>
      <font>
        <sz val="9"/>
      </font>
      <alignment horizontal="center" vertical="top" wrapText="1" readingOrder="0"/>
      <border outline="0">
        <right style="medium">
          <color indexed="64"/>
        </right>
      </border>
    </dxf>
  </rfmt>
  <rcc rId="12444" sId="45" xfDxf="1" dxf="1">
    <nc r="E32" t="inlineStr">
      <is>
        <t xml:space="preserve">За счет использования 2-х видов синтетических волокон в составе,FIBRAMIXсочетает в себе качественные характеристики двух компонентов. Обеспечивает 3D-армирование по всему объему бетона, ратворов. Заменяет металлическую сетку. </t>
      </is>
    </nc>
    <ndxf>
      <font>
        <sz val="9"/>
      </font>
      <alignment horizontal="justify" wrapText="1" mergeCell="1" readingOrder="0"/>
      <border outline="0">
        <left style="medium">
          <color indexed="64"/>
        </left>
        <right style="medium">
          <color indexed="64"/>
        </right>
        <top style="medium">
          <color indexed="64"/>
        </top>
      </border>
    </ndxf>
  </rcc>
  <rcc rId="12445" sId="45" xfDxf="1" dxf="1">
    <nc r="A33" t="inlineStr">
      <is>
        <t>FIBRAMIX</t>
      </is>
    </nc>
    <ndxf>
      <font>
        <b/>
        <sz val="16"/>
      </font>
      <alignment vertical="top" wrapText="1" readingOrder="0"/>
      <border outline="0">
        <left style="medium">
          <color indexed="64"/>
        </left>
        <right style="medium">
          <color indexed="64"/>
        </right>
      </border>
    </ndxf>
  </rcc>
  <rfmt sheetId="45" xfDxf="1" sqref="B33" start="0" length="0">
    <dxf>
      <font>
        <b/>
      </font>
      <alignment vertical="top" wrapText="1" readingOrder="0"/>
      <border outline="0">
        <right style="medium">
          <color indexed="64"/>
        </right>
      </border>
    </dxf>
  </rfmt>
  <rfmt sheetId="45" xfDxf="1" sqref="C33" start="0" length="0">
    <dxf>
      <font>
        <b/>
      </font>
      <alignment horizontal="center" vertical="top" wrapText="1" readingOrder="0"/>
      <border outline="0">
        <right style="medium">
          <color indexed="64"/>
        </right>
      </border>
    </dxf>
  </rfmt>
  <rfmt sheetId="45" xfDxf="1" sqref="D33" start="0" length="0">
    <dxf>
      <font>
        <sz val="9"/>
      </font>
      <alignment horizontal="center" vertical="top" wrapText="1" readingOrder="0"/>
      <border outline="0">
        <right style="medium">
          <color indexed="64"/>
        </right>
      </border>
    </dxf>
  </rfmt>
  <rfmt sheetId="45" xfDxf="1" sqref="E33" start="0" length="0">
    <dxf>
      <font>
        <sz val="9"/>
      </font>
      <alignment horizontal="justify" wrapText="1" mergeCell="1" readingOrder="0"/>
      <border outline="0">
        <left style="medium">
          <color indexed="64"/>
        </left>
        <right style="medium">
          <color indexed="64"/>
        </right>
      </border>
    </dxf>
  </rfmt>
  <rcc rId="12446" sId="45" xfDxf="1" dxf="1">
    <nc r="A34" t="inlineStr">
      <is>
        <t>ВЫСОКОПРОЧНОЕфиброволокно полилипропиленовое 20 мм (500 гр), полиэфирное 12 мм (200 гр.)</t>
      </is>
    </nc>
    <ndxf>
      <font>
        <sz val="9"/>
      </font>
      <alignment vertical="top" wrapText="1" readingOrder="0"/>
      <border outline="0">
        <left style="medium">
          <color indexed="64"/>
        </left>
        <right style="medium">
          <color indexed="64"/>
        </right>
      </border>
    </ndxf>
  </rcc>
  <rfmt sheetId="45" xfDxf="1" sqref="B34" start="0" length="0">
    <dxf>
      <font>
        <sz val="9"/>
      </font>
      <alignment horizontal="center" vertical="top" wrapText="1" readingOrder="0"/>
      <border outline="0">
        <right style="medium">
          <color indexed="64"/>
        </right>
      </border>
    </dxf>
  </rfmt>
  <rfmt sheetId="45" xfDxf="1" sqref="C34" start="0" length="0">
    <dxf>
      <font>
        <sz val="9"/>
      </font>
      <alignment horizontal="center" vertical="top" wrapText="1" readingOrder="0"/>
      <border outline="0">
        <right style="medium">
          <color indexed="64"/>
        </right>
      </border>
    </dxf>
  </rfmt>
  <rfmt sheetId="45" xfDxf="1" sqref="D34" start="0" length="0">
    <dxf>
      <font>
        <sz val="9"/>
      </font>
      <alignment horizontal="center" vertical="top" wrapText="1" readingOrder="0"/>
      <border outline="0">
        <right style="medium">
          <color indexed="64"/>
        </right>
      </border>
    </dxf>
  </rfmt>
  <rfmt sheetId="45" xfDxf="1" sqref="E34" start="0" length="0">
    <dxf>
      <font>
        <sz val="9"/>
      </font>
      <alignment horizontal="justify" wrapText="1" mergeCell="1" readingOrder="0"/>
      <border outline="0">
        <left style="medium">
          <color indexed="64"/>
        </left>
        <right style="medium">
          <color indexed="64"/>
        </right>
      </border>
    </dxf>
  </rfmt>
  <rfmt sheetId="45" xfDxf="1" sqref="A35" start="0" length="0">
    <dxf>
      <font>
        <sz val="9"/>
      </font>
      <alignment vertical="top" wrapText="1" readingOrder="0"/>
      <border outline="0">
        <left style="medium">
          <color indexed="64"/>
        </left>
        <right style="medium">
          <color indexed="64"/>
        </right>
      </border>
    </dxf>
  </rfmt>
  <rcc rId="12447" sId="45" xfDxf="1" dxf="1">
    <nc r="B35" t="inlineStr">
      <is>
        <t>двойная упаковка</t>
      </is>
    </nc>
    <ndxf>
      <font>
        <sz val="9"/>
      </font>
      <alignment horizontal="center" vertical="top" wrapText="1" readingOrder="0"/>
      <border outline="0">
        <right style="medium">
          <color indexed="64"/>
        </right>
      </border>
    </ndxf>
  </rcc>
  <rcc rId="12448" sId="45" xfDxf="1" dxf="1">
    <nc r="C35" t="inlineStr">
      <is>
        <t>190 руб/пакет</t>
      </is>
    </nc>
    <ndxf>
      <font>
        <sz val="9"/>
      </font>
      <alignment horizontal="center" vertical="top" wrapText="1" readingOrder="0"/>
      <border outline="0">
        <right style="medium">
          <color indexed="64"/>
        </right>
      </border>
    </ndxf>
  </rcc>
  <rcc rId="12449" sId="45" xfDxf="1" dxf="1">
    <nc r="D35" t="inlineStr">
      <is>
        <t>1уп./</t>
      </is>
    </nc>
    <ndxf>
      <font>
        <sz val="9"/>
      </font>
      <alignment horizontal="center" vertical="top" wrapText="1" readingOrder="0"/>
      <border outline="0">
        <right style="medium">
          <color indexed="64"/>
        </right>
      </border>
    </ndxf>
  </rcc>
  <rfmt sheetId="45" xfDxf="1" sqref="E35" start="0" length="0">
    <dxf>
      <font>
        <sz val="9"/>
      </font>
      <alignment horizontal="justify" wrapText="1" mergeCell="1" readingOrder="0"/>
      <border outline="0">
        <left style="medium">
          <color indexed="64"/>
        </left>
        <right style="medium">
          <color indexed="64"/>
        </right>
      </border>
    </dxf>
  </rfmt>
  <rfmt sheetId="45" xfDxf="1" sqref="A36" start="0" length="0">
    <dxf>
      <font>
        <b/>
      </font>
      <alignment vertical="top" wrapText="1" readingOrder="0"/>
      <border outline="0">
        <left style="medium">
          <color indexed="64"/>
        </left>
        <right style="medium">
          <color indexed="64"/>
        </right>
        <bottom style="medium">
          <color indexed="64"/>
        </bottom>
      </border>
    </dxf>
  </rfmt>
  <rcc rId="12450" sId="45" xfDxf="1" dxf="1">
    <nc r="B36" t="inlineStr">
      <is>
        <t>(500 гр + 200 гр)</t>
      </is>
    </nc>
    <ndxf>
      <font>
        <sz val="9"/>
      </font>
      <alignment horizontal="center" vertical="top" wrapText="1" readingOrder="0"/>
      <border outline="0">
        <right style="medium">
          <color indexed="64"/>
        </right>
        <bottom style="medium">
          <color indexed="64"/>
        </bottom>
      </border>
    </ndxf>
  </rcc>
  <rfmt sheetId="45" xfDxf="1" sqref="C36" start="0" length="0">
    <dxf>
      <alignment vertical="top" wrapText="1" readingOrder="0"/>
      <border outline="0">
        <right style="medium">
          <color indexed="64"/>
        </right>
        <bottom style="medium">
          <color indexed="64"/>
        </bottom>
      </border>
    </dxf>
  </rfmt>
  <rcc rId="12451" sId="45" xfDxf="1" dxf="1">
    <nc r="D36" t="inlineStr">
      <is>
        <t>м3</t>
      </is>
    </nc>
    <ndxf>
      <font>
        <sz val="9"/>
      </font>
      <alignment horizontal="center" vertical="top" wrapText="1" readingOrder="0"/>
      <border outline="0">
        <right style="medium">
          <color indexed="64"/>
        </right>
        <bottom style="medium">
          <color indexed="64"/>
        </bottom>
      </border>
    </ndxf>
  </rcc>
  <rfmt sheetId="45" xfDxf="1" sqref="E36" start="0" length="0">
    <dxf>
      <font>
        <sz val="9"/>
      </font>
      <alignment horizontal="justify" wrapText="1" mergeCell="1" readingOrder="0"/>
      <border outline="0">
        <left style="medium">
          <color indexed="64"/>
        </left>
        <right style="medium">
          <color indexed="64"/>
        </right>
        <bottom style="medium">
          <color indexed="64"/>
        </bottom>
      </border>
    </dxf>
  </rfmt>
  <rfmt sheetId="45" sqref="E6:E12">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6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6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 Даногипс,ГИПРОК'!$A$1:$I$29</formula>
    <oldFormula>'ГКЛ Даногипс,ГИПРОК'!$A$1:$I$29</oldFormula>
  </rdn>
  <rdn rId="0" localSheetId="11" customView="1" name="Z_FBB3E572_A647_4B8C_96C7_F43FE4F7CAA8_.wvu.Cols" hidden="1" oldHidden="1">
    <formula>'ГКЛ Даногипс,ГИПРОК'!$G:$H</formula>
    <oldFormula>'ГКЛ Даногипс,ГИПРОК'!$G:$H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7.xml><?xml version="1.0" encoding="utf-8"?>
<revisions xmlns="http://schemas.openxmlformats.org/spreadsheetml/2006/main" xmlns:r="http://schemas.openxmlformats.org/officeDocument/2006/relationships">
  <ris rId="6034" sheetId="24" name="[ПРАЙС ЦЕНТР-ТИМ 2019 обновленный.xlsx]Лист1" sheetPosition="23"/>
  <rcc rId="6035" sId="24" odxf="1" dxf="1">
    <nc r="A3" t="inlineStr">
      <is>
        <t>ВОДОСТОЧНАЯ СИСТЕМА ПРЯМОУГОЛЬНОГО и КРУГЛОГО СЕЧЕНИЯ</t>
      </is>
    </nc>
    <odxf>
      <font>
        <b val="0"/>
        <sz val="11"/>
        <color theme="1"/>
        <name val="Calibri"/>
        <scheme val="minor"/>
      </font>
      <alignment horizontal="general" vertical="bottom" wrapText="0" readingOrder="0"/>
      <border outline="0">
        <left/>
        <top/>
      </border>
    </odxf>
    <ndxf>
      <font>
        <b/>
        <sz val="11"/>
        <color theme="1"/>
        <name val="Calibri"/>
        <scheme val="minor"/>
      </font>
      <alignment horizontal="center" vertical="top" wrapText="1" readingOrder="0"/>
      <border outline="0">
        <left style="medium">
          <color indexed="64"/>
        </left>
        <top style="medium">
          <color indexed="64"/>
        </top>
      </border>
    </ndxf>
  </rcc>
  <rfmt sheetId="24" sqref="B3" start="0" length="0">
    <dxf>
      <alignment horizontal="center" vertical="top" wrapText="1" readingOrder="0"/>
      <border outline="0">
        <top style="medium">
          <color indexed="64"/>
        </top>
      </border>
    </dxf>
  </rfmt>
  <rfmt sheetId="24" sqref="C3" start="0" length="0">
    <dxf>
      <alignment horizontal="center" vertical="top" wrapText="1" readingOrder="0"/>
      <border outline="0">
        <top style="medium">
          <color indexed="64"/>
        </top>
      </border>
    </dxf>
  </rfmt>
  <rfmt sheetId="24" sqref="D3" start="0" length="0">
    <dxf>
      <alignment horizontal="center" vertical="top" wrapText="1" readingOrder="0"/>
      <border outline="0">
        <right style="medium">
          <color indexed="64"/>
        </right>
        <top style="medium">
          <color indexed="64"/>
        </top>
      </border>
    </dxf>
  </rfmt>
  <rfmt sheetId="24" sqref="G3" start="0" length="0">
    <dxf>
      <fill>
        <patternFill patternType="solid">
          <bgColor rgb="FFFFFF00"/>
        </patternFill>
      </fill>
    </dxf>
  </rfmt>
  <rcc rId="6036" sId="24" odxf="1" dxf="1">
    <nc r="A4" t="inlineStr">
      <is>
        <t>НАИМЕНОВАНИЕ</t>
      </is>
    </nc>
    <odxf>
      <font>
        <sz val="11"/>
        <color theme="1"/>
        <name val="Calibri"/>
        <scheme val="minor"/>
      </font>
      <alignment horizontal="general" vertical="bottom" wrapText="0" readingOrder="0"/>
      <border outline="0">
        <left/>
        <top/>
        <bottom/>
      </border>
    </odxf>
    <ndxf>
      <font>
        <sz val="12"/>
        <color theme="1"/>
        <name val="Calibri"/>
        <scheme val="minor"/>
      </font>
      <alignment horizontal="center" vertical="top" wrapText="1" readingOrder="0"/>
      <border outline="0">
        <left style="medium">
          <color indexed="64"/>
        </left>
        <top style="medium">
          <color indexed="64"/>
        </top>
        <bottom style="medium">
          <color indexed="64"/>
        </bottom>
      </border>
    </ndxf>
  </rcc>
  <rfmt sheetId="24" sqref="B4" start="0" length="0">
    <dxf>
      <font>
        <sz val="12"/>
        <color theme="1"/>
        <name val="Calibri"/>
        <scheme val="minor"/>
      </font>
      <alignment horizontal="center" vertical="top" wrapText="1" readingOrder="0"/>
      <border outline="0">
        <right style="medium">
          <color indexed="64"/>
        </right>
        <top style="medium">
          <color indexed="64"/>
        </top>
        <bottom style="medium">
          <color indexed="64"/>
        </bottom>
      </border>
    </dxf>
  </rfmt>
  <rcc rId="6037" sId="24" odxf="1" dxf="1">
    <nc r="C4" t="inlineStr">
      <is>
        <t>Ед. изм.</t>
      </is>
    </nc>
    <odxf>
      <font>
        <sz val="11"/>
        <color theme="1"/>
        <name val="Calibri"/>
        <scheme val="minor"/>
      </font>
      <alignment horizontal="general" vertical="bottom" readingOrder="0"/>
      <border outline="0">
        <left/>
        <right/>
        <top/>
        <bottom/>
      </border>
    </odxf>
    <ndxf>
      <font>
        <sz val="12"/>
        <color theme="1"/>
        <name val="Calibri"/>
        <scheme val="minor"/>
      </font>
      <alignment horizontal="center" vertical="top" readingOrder="0"/>
      <border outline="0">
        <left style="medium">
          <color indexed="64"/>
        </left>
        <right style="medium">
          <color indexed="64"/>
        </right>
        <top style="medium">
          <color indexed="64"/>
        </top>
        <bottom style="medium">
          <color indexed="64"/>
        </bottom>
      </border>
    </ndxf>
  </rcc>
  <rcc rId="6038" sId="24" odxf="1" dxf="1">
    <nc r="D4" t="inlineStr">
      <is>
        <t>Цена Розн.</t>
      </is>
    </nc>
    <odxf>
      <alignment horizontal="general" vertical="bottom" readingOrder="0"/>
      <border outline="0">
        <right/>
        <top/>
        <bottom/>
      </border>
    </odxf>
    <ndxf>
      <alignment horizontal="center" vertical="center" readingOrder="0"/>
      <border outline="0">
        <right style="thin">
          <color indexed="64"/>
        </right>
        <top style="medium">
          <color indexed="64"/>
        </top>
        <bottom style="medium">
          <color indexed="64"/>
        </bottom>
      </border>
    </ndxf>
  </rcc>
  <rfmt sheetId="24" sqref="E4" start="0" length="0">
    <dxf>
      <border outline="0">
        <top style="medium">
          <color indexed="64"/>
        </top>
        <bottom style="medium">
          <color indexed="64"/>
        </bottom>
      </border>
    </dxf>
  </rfmt>
  <rfmt sheetId="24" sqref="F4" start="0" length="0">
    <dxf>
      <border outline="0">
        <top style="medium">
          <color indexed="64"/>
        </top>
        <bottom style="medium">
          <color indexed="64"/>
        </bottom>
      </border>
    </dxf>
  </rfmt>
  <rcc rId="6039" sId="24" odxf="1" dxf="1">
    <nc r="G4" t="inlineStr">
      <is>
        <t>Цена Опт</t>
      </is>
    </nc>
    <odxf>
      <border outline="0">
        <left/>
        <right/>
        <top/>
        <bottom/>
      </border>
    </odxf>
    <ndxf>
      <border outline="0">
        <left style="medium">
          <color indexed="64"/>
        </left>
        <right style="medium">
          <color indexed="64"/>
        </right>
        <top style="medium">
          <color indexed="64"/>
        </top>
        <bottom style="medium">
          <color indexed="64"/>
        </bottom>
      </border>
    </ndxf>
  </rcc>
  <rcc rId="6040" sId="24" odxf="1" dxf="1">
    <nc r="A5">
      <v>1</v>
    </nc>
    <odxf>
      <font>
        <b val="0"/>
        <sz val="11"/>
        <color theme="1"/>
        <name val="Calibri"/>
        <scheme val="minor"/>
      </font>
      <alignment horizontal="general" vertical="bottom" readingOrder="0"/>
      <border outline="0">
        <left/>
        <right/>
        <bottom/>
      </border>
    </odxf>
    <ndxf>
      <font>
        <b/>
        <sz val="11"/>
        <color theme="1"/>
        <name val="Calibri"/>
        <scheme val="minor"/>
      </font>
      <alignment horizontal="center" vertical="top" readingOrder="0"/>
      <border outline="0">
        <left style="thin">
          <color indexed="64"/>
        </left>
        <right style="thin">
          <color indexed="64"/>
        </right>
        <bottom style="thin">
          <color indexed="64"/>
        </bottom>
      </border>
    </ndxf>
  </rcc>
  <rcc rId="6041" sId="24" odxf="1" dxf="1">
    <nc r="B5" t="inlineStr">
      <is>
        <t>Желоб водосточный 120х86х3000 (ПЭ-8017)</t>
      </is>
    </nc>
    <odxf>
      <alignment horizontal="general" vertical="bottom" wrapText="0" readingOrder="0"/>
    </odxf>
    <ndxf>
      <alignment horizontal="left" vertical="top" wrapText="1" readingOrder="0"/>
    </ndxf>
  </rcc>
  <rcc rId="6042" sId="24" odxf="1" dxf="1">
    <nc r="C5" t="inlineStr">
      <is>
        <t>шт</t>
      </is>
    </nc>
    <odxf>
      <alignment horizontal="general" vertical="bottom" wrapText="0" readingOrder="0"/>
      <border outline="0">
        <left/>
        <right/>
        <bottom/>
      </border>
    </odxf>
    <ndxf>
      <alignment horizontal="center" vertical="top" wrapText="1" readingOrder="0"/>
      <border outline="0">
        <left style="thin">
          <color indexed="64"/>
        </left>
        <right style="thin">
          <color indexed="64"/>
        </right>
        <bottom style="thin">
          <color indexed="64"/>
        </bottom>
      </border>
    </ndxf>
  </rcc>
  <rcc rId="6043" sId="24" odxf="1" dxf="1" numFmtId="4">
    <nc r="D5">
      <v>363.5</v>
    </nc>
    <odxf>
      <numFmt numFmtId="0" formatCode="General"/>
      <alignment horizontal="general" vertical="bottom" wrapText="0" readingOrder="0"/>
      <border outline="0">
        <left/>
        <right/>
        <bottom/>
      </border>
    </odxf>
    <ndxf>
      <numFmt numFmtId="2" formatCode="0.00"/>
      <alignment horizontal="center" vertical="center" wrapText="1" readingOrder="0"/>
      <border outline="0">
        <left style="thin">
          <color indexed="64"/>
        </left>
        <right style="thin">
          <color indexed="64"/>
        </right>
        <bottom style="thin">
          <color indexed="64"/>
        </bottom>
      </border>
    </ndxf>
  </rcc>
  <rfmt sheetId="24" sqref="E5" start="0" length="0">
    <dxf>
      <alignment horizontal="left" vertical="top" wrapText="1" readingOrder="0"/>
    </dxf>
  </rfmt>
  <rfmt sheetId="24" sqref="F5" start="0" length="0">
    <dxf>
      <alignment horizontal="left" vertical="top" wrapText="1" readingOrder="0"/>
      <border outline="0">
        <left style="thin">
          <color rgb="FF000000"/>
        </left>
      </border>
    </dxf>
  </rfmt>
  <rcc rId="6044" sId="24" odxf="1" dxf="1" numFmtId="4">
    <nc r="G5">
      <v>311.5</v>
    </nc>
    <odxf>
      <numFmt numFmtId="0" formatCode="General"/>
      <alignment horizontal="general" vertical="bottom" readingOrder="0"/>
      <border outline="0">
        <left/>
        <right/>
        <bottom/>
      </border>
    </odxf>
    <ndxf>
      <numFmt numFmtId="2" formatCode="0.00"/>
      <alignment horizontal="center" vertical="top" readingOrder="0"/>
      <border outline="0">
        <left style="thin">
          <color indexed="64"/>
        </left>
        <right style="thin">
          <color indexed="64"/>
        </right>
        <bottom style="thin">
          <color indexed="64"/>
        </bottom>
      </border>
    </ndxf>
  </rcc>
  <rcc rId="6045" sId="24" odxf="1" dxf="1">
    <nc r="A6">
      <v>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46" sId="24" odxf="1" dxf="1">
    <nc r="B6" t="inlineStr">
      <is>
        <t>Заглушка желоба левая 120х86 (ПЭ-8017)</t>
      </is>
    </nc>
    <odxf>
      <alignment horizontal="general" vertical="bottom" wrapText="0" readingOrder="0"/>
      <border outline="0">
        <top/>
      </border>
    </odxf>
    <ndxf>
      <alignment horizontal="left" vertical="top" wrapText="1" readingOrder="0"/>
      <border outline="0">
        <top style="thin">
          <color rgb="FF000000"/>
        </top>
      </border>
    </ndxf>
  </rcc>
  <rcc rId="6047" sId="24" odxf="1" dxf="1">
    <nc r="C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48" sId="24" odxf="1" dxf="1" numFmtId="4">
    <nc r="D6">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6" start="0" length="0">
    <dxf>
      <alignment horizontal="left" vertical="top" wrapText="1" readingOrder="0"/>
      <border outline="0">
        <top style="thin">
          <color rgb="FF000000"/>
        </top>
      </border>
    </dxf>
  </rfmt>
  <rfmt sheetId="24" sqref="F6" start="0" length="0">
    <dxf>
      <alignment horizontal="left" vertical="top" wrapText="1" readingOrder="0"/>
      <border outline="0">
        <left style="thin">
          <color rgb="FF000000"/>
        </left>
        <top style="thin">
          <color rgb="FF000000"/>
        </top>
      </border>
    </dxf>
  </rfmt>
  <rcc rId="6049" sId="24" odxf="1" dxf="1" numFmtId="4">
    <nc r="G6">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50" sId="24" odxf="1" dxf="1">
    <nc r="A7">
      <v>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51" sId="24" odxf="1" dxf="1">
    <nc r="B7" t="inlineStr">
      <is>
        <t>Заглушка желоба правая 120х86 (ПЭ-8017)</t>
      </is>
    </nc>
    <odxf>
      <alignment horizontal="general" vertical="bottom" wrapText="0" readingOrder="0"/>
      <border outline="0">
        <top/>
      </border>
    </odxf>
    <ndxf>
      <alignment horizontal="left" vertical="top" wrapText="1" readingOrder="0"/>
      <border outline="0">
        <top style="thin">
          <color rgb="FF000000"/>
        </top>
      </border>
    </ndxf>
  </rcc>
  <rcc rId="6052" sId="24" odxf="1" dxf="1">
    <nc r="C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53" sId="24" odxf="1" dxf="1" numFmtId="4">
    <nc r="D7">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7" start="0" length="0">
    <dxf>
      <alignment horizontal="left" vertical="top" wrapText="1" readingOrder="0"/>
      <border outline="0">
        <top style="thin">
          <color rgb="FF000000"/>
        </top>
      </border>
    </dxf>
  </rfmt>
  <rfmt sheetId="24" sqref="F7" start="0" length="0">
    <dxf>
      <alignment horizontal="left" vertical="top" wrapText="1" readingOrder="0"/>
      <border outline="0">
        <left style="thin">
          <color rgb="FF000000"/>
        </left>
        <top style="thin">
          <color rgb="FF000000"/>
        </top>
      </border>
    </dxf>
  </rfmt>
  <rcc rId="6054" sId="24" odxf="1" dxf="1" numFmtId="4">
    <nc r="G7">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55" sId="24" odxf="1" dxf="1">
    <nc r="A8">
      <v>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56" sId="24" odxf="1" dxf="1">
    <nc r="B8" t="inlineStr">
      <is>
        <t>Колено трубы 76х102 (ПЭ-8017)</t>
      </is>
    </nc>
    <odxf>
      <alignment horizontal="general" vertical="bottom" wrapText="0" readingOrder="0"/>
      <border outline="0">
        <top/>
      </border>
    </odxf>
    <ndxf>
      <alignment horizontal="left" vertical="top" wrapText="1" readingOrder="0"/>
      <border outline="0">
        <top style="thin">
          <color rgb="FF000000"/>
        </top>
      </border>
    </ndxf>
  </rcc>
  <rcc rId="6057" sId="24" odxf="1" dxf="1">
    <nc r="C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58" sId="24" odxf="1" dxf="1" numFmtId="4">
    <nc r="D8">
      <v>69.3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8" start="0" length="0">
    <dxf>
      <alignment horizontal="left" vertical="top" wrapText="1" readingOrder="0"/>
      <border outline="0">
        <top style="thin">
          <color rgb="FF000000"/>
        </top>
      </border>
    </dxf>
  </rfmt>
  <rfmt sheetId="24" sqref="F8" start="0" length="0">
    <dxf>
      <alignment horizontal="left" vertical="top" wrapText="1" readingOrder="0"/>
      <border outline="0">
        <left style="thin">
          <color rgb="FF000000"/>
        </left>
        <top style="thin">
          <color rgb="FF000000"/>
        </top>
      </border>
    </dxf>
  </rfmt>
  <rcc rId="6059" sId="24" odxf="1" dxf="1" numFmtId="4">
    <nc r="G8">
      <v>59.4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60" sId="24" odxf="1" dxf="1">
    <nc r="A9">
      <v>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61" sId="24" odxf="1" dxf="1">
    <nc r="B9" t="inlineStr">
      <is>
        <t>Труба водосточная 76х102х3000+колено (ПЭ-8017)</t>
      </is>
    </nc>
    <odxf>
      <alignment horizontal="general" vertical="bottom" wrapText="0" readingOrder="0"/>
      <border outline="0">
        <top/>
      </border>
    </odxf>
    <ndxf>
      <alignment horizontal="left" vertical="top" wrapText="1" readingOrder="0"/>
      <border outline="0">
        <top style="thin">
          <color rgb="FF000000"/>
        </top>
      </border>
    </ndxf>
  </rcc>
  <rcc rId="6062" sId="24" odxf="1" dxf="1">
    <nc r="C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63" sId="24" odxf="1" dxf="1" numFmtId="4">
    <nc r="D9">
      <v>438.9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9" start="0" length="0">
    <dxf>
      <alignment horizontal="left" vertical="top" wrapText="1" readingOrder="0"/>
      <border outline="0">
        <top style="thin">
          <color rgb="FF000000"/>
        </top>
      </border>
    </dxf>
  </rfmt>
  <rfmt sheetId="24" sqref="F9" start="0" length="0">
    <dxf>
      <alignment horizontal="left" vertical="top" wrapText="1" readingOrder="0"/>
      <border outline="0">
        <left style="thin">
          <color rgb="FF000000"/>
        </left>
        <top style="thin">
          <color rgb="FF000000"/>
        </top>
      </border>
    </dxf>
  </rfmt>
  <rcc rId="6064" sId="24" odxf="1" dxf="1" numFmtId="4">
    <nc r="G9">
      <v>376.2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65" sId="24" odxf="1" dxf="1">
    <nc r="A10">
      <v>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66" sId="24" odxf="1" dxf="1">
    <nc r="B10" t="inlineStr">
      <is>
        <t>Труба водосточная 76х102х3000 (ПЭ-8017)</t>
      </is>
    </nc>
    <odxf>
      <alignment horizontal="general" vertical="bottom" wrapText="0" readingOrder="0"/>
      <border outline="0">
        <top/>
      </border>
    </odxf>
    <ndxf>
      <alignment horizontal="left" vertical="top" wrapText="1" readingOrder="0"/>
      <border outline="0">
        <top style="thin">
          <color rgb="FF000000"/>
        </top>
      </border>
    </ndxf>
  </rcc>
  <rcc rId="6067" sId="24" odxf="1" dxf="1">
    <nc r="C1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68" sId="24" odxf="1" dxf="1" numFmtId="4">
    <nc r="D10">
      <v>408.1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0" start="0" length="0">
    <dxf>
      <alignment horizontal="left" vertical="top" wrapText="1" readingOrder="0"/>
      <border outline="0">
        <top style="thin">
          <color rgb="FF000000"/>
        </top>
      </border>
    </dxf>
  </rfmt>
  <rfmt sheetId="24" sqref="F10" start="0" length="0">
    <dxf>
      <alignment horizontal="left" vertical="top" wrapText="1" readingOrder="0"/>
      <border outline="0">
        <left style="thin">
          <color rgb="FF000000"/>
        </left>
        <top style="thin">
          <color rgb="FF000000"/>
        </top>
      </border>
    </dxf>
  </rfmt>
  <rcc rId="6069" sId="24" odxf="1" dxf="1" numFmtId="4">
    <nc r="G10">
      <v>349.8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70" sId="24" odxf="1" dxf="1">
    <nc r="A11">
      <v>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71" sId="24" odxf="1" dxf="1">
    <nc r="B11" t="inlineStr">
      <is>
        <t>Угол желоба внутренний 120х86 (ПЭ-02-8017)</t>
      </is>
    </nc>
    <odxf>
      <alignment horizontal="general" vertical="bottom" wrapText="0" readingOrder="0"/>
      <border outline="0">
        <top/>
      </border>
    </odxf>
    <ndxf>
      <alignment horizontal="left" vertical="top" wrapText="1" readingOrder="0"/>
      <border outline="0">
        <top style="thin">
          <color rgb="FF000000"/>
        </top>
      </border>
    </ndxf>
  </rcc>
  <rcc rId="6072" sId="24" odxf="1" dxf="1">
    <nc r="C1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73" sId="24" odxf="1" dxf="1" numFmtId="4">
    <nc r="D11">
      <v>273.39999999999998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1" start="0" length="0">
    <dxf>
      <alignment horizontal="left" vertical="top" wrapText="1" readingOrder="0"/>
      <border outline="0">
        <top style="thin">
          <color rgb="FF000000"/>
        </top>
      </border>
    </dxf>
  </rfmt>
  <rfmt sheetId="24" sqref="F11" start="0" length="0">
    <dxf>
      <alignment horizontal="left" vertical="top" wrapText="1" readingOrder="0"/>
      <border outline="0">
        <left style="thin">
          <color rgb="FF000000"/>
        </left>
        <top style="thin">
          <color rgb="FF000000"/>
        </top>
      </border>
    </dxf>
  </rfmt>
  <rcc rId="6074" sId="24" odxf="1" dxf="1" numFmtId="4">
    <nc r="G11">
      <v>234.3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75" sId="24" odxf="1" dxf="1">
    <nc r="A12">
      <v>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76" sId="24" odxf="1" dxf="1">
    <nc r="B12" t="inlineStr">
      <is>
        <t>Угол желоба наружный 120х86 (ПЭ-02-8017)</t>
      </is>
    </nc>
    <odxf>
      <alignment horizontal="general" vertical="bottom" wrapText="0" readingOrder="0"/>
      <border outline="0">
        <top/>
      </border>
    </odxf>
    <ndxf>
      <alignment horizontal="left" vertical="top" wrapText="1" readingOrder="0"/>
      <border outline="0">
        <top style="thin">
          <color rgb="FF000000"/>
        </top>
      </border>
    </ndxf>
  </rcc>
  <rcc rId="6077" sId="24" odxf="1" dxf="1">
    <nc r="C1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78" sId="24" odxf="1" dxf="1" numFmtId="4">
    <nc r="D12">
      <v>300.3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2" start="0" length="0">
    <dxf>
      <alignment horizontal="left" vertical="top" wrapText="1" readingOrder="0"/>
      <border outline="0">
        <top style="thin">
          <color rgb="FF000000"/>
        </top>
      </border>
    </dxf>
  </rfmt>
  <rfmt sheetId="24" sqref="F12" start="0" length="0">
    <dxf>
      <alignment horizontal="left" vertical="top" wrapText="1" readingOrder="0"/>
      <border outline="0">
        <left style="thin">
          <color rgb="FF000000"/>
        </left>
        <top style="thin">
          <color rgb="FF000000"/>
        </top>
      </border>
    </dxf>
  </rfmt>
  <rcc rId="6079" sId="24" odxf="1" dxf="1" numFmtId="4">
    <nc r="G12">
      <v>257.39999999999998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80" sId="24" odxf="1" dxf="1">
    <nc r="A13">
      <v>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81" sId="24" odxf="1" dxf="1">
    <nc r="B13" t="inlineStr">
      <is>
        <t>Держатель трубы 76х102 (ПЭ-8017)</t>
      </is>
    </nc>
    <odxf>
      <alignment horizontal="general" vertical="bottom" wrapText="0" readingOrder="0"/>
      <border outline="0">
        <top/>
      </border>
    </odxf>
    <ndxf>
      <alignment horizontal="left" vertical="top" wrapText="1" readingOrder="0"/>
      <border outline="0">
        <top style="thin">
          <color rgb="FF000000"/>
        </top>
      </border>
    </ndxf>
  </rcc>
  <rcc rId="6082" sId="24" odxf="1" dxf="1">
    <nc r="C1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83" sId="24" odxf="1" dxf="1" numFmtId="4">
    <nc r="D13">
      <v>65.5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3" start="0" length="0">
    <dxf>
      <alignment horizontal="left" vertical="top" wrapText="1" readingOrder="0"/>
      <border outline="0">
        <top style="thin">
          <color rgb="FF000000"/>
        </top>
      </border>
    </dxf>
  </rfmt>
  <rfmt sheetId="24" sqref="F13" start="0" length="0">
    <dxf>
      <alignment horizontal="left" vertical="top" wrapText="1" readingOrder="0"/>
      <border outline="0">
        <left style="thin">
          <color rgb="FF000000"/>
        </left>
        <top style="thin">
          <color rgb="FF000000"/>
        </top>
      </border>
    </dxf>
  </rfmt>
  <rcc rId="6084" sId="24" odxf="1" dxf="1" numFmtId="4">
    <nc r="G13">
      <v>56.1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85" sId="24" odxf="1" dxf="1">
    <nc r="A14">
      <v>10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86" sId="24" odxf="1" dxf="1">
    <nc r="B14" t="inlineStr">
      <is>
        <t>Держатель трубы 76х102 (ПЭ-9003)</t>
      </is>
    </nc>
    <odxf>
      <alignment horizontal="general" vertical="bottom" wrapText="0" readingOrder="0"/>
      <border outline="0">
        <top/>
      </border>
    </odxf>
    <ndxf>
      <alignment horizontal="left" vertical="top" wrapText="1" readingOrder="0"/>
      <border outline="0">
        <top style="thin">
          <color rgb="FF000000"/>
        </top>
      </border>
    </ndxf>
  </rcc>
  <rcc rId="6087" sId="24" odxf="1" dxf="1">
    <nc r="C1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88" sId="24" odxf="1" dxf="1" numFmtId="4">
    <nc r="D14">
      <v>65.5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4" start="0" length="0">
    <dxf>
      <alignment horizontal="left" vertical="top" wrapText="1" readingOrder="0"/>
      <border outline="0">
        <top style="thin">
          <color rgb="FF000000"/>
        </top>
      </border>
    </dxf>
  </rfmt>
  <rfmt sheetId="24" sqref="F14" start="0" length="0">
    <dxf>
      <alignment horizontal="left" vertical="top" wrapText="1" readingOrder="0"/>
      <border outline="0">
        <left style="thin">
          <color rgb="FF000000"/>
        </left>
        <top style="thin">
          <color rgb="FF000000"/>
        </top>
      </border>
    </dxf>
  </rfmt>
  <rcc rId="6089" sId="24" odxf="1" dxf="1" numFmtId="4">
    <nc r="G14">
      <v>56.1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90" sId="24" odxf="1" dxf="1">
    <nc r="A15">
      <v>11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91" sId="24" odxf="1" dxf="1">
    <nc r="B15" t="inlineStr">
      <is>
        <t>Желоб водосточный 120х86х3000 (ПЭ-9003)</t>
      </is>
    </nc>
    <odxf>
      <alignment horizontal="general" vertical="bottom" wrapText="0" readingOrder="0"/>
      <border outline="0">
        <top/>
      </border>
    </odxf>
    <ndxf>
      <alignment horizontal="left" vertical="top" wrapText="1" readingOrder="0"/>
      <border outline="0">
        <top style="thin">
          <color rgb="FF000000"/>
        </top>
      </border>
    </ndxf>
  </rcc>
  <rcc rId="6092" sId="24" odxf="1" dxf="1">
    <nc r="C1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93" sId="24" odxf="1" dxf="1" numFmtId="4">
    <nc r="D15">
      <v>363.5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5" start="0" length="0">
    <dxf>
      <alignment horizontal="left" vertical="top" wrapText="1" readingOrder="0"/>
      <border outline="0">
        <top style="thin">
          <color rgb="FF000000"/>
        </top>
      </border>
    </dxf>
  </rfmt>
  <rfmt sheetId="24" sqref="F15" start="0" length="0">
    <dxf>
      <alignment horizontal="left" vertical="top" wrapText="1" readingOrder="0"/>
      <border outline="0">
        <left style="thin">
          <color rgb="FF000000"/>
        </left>
        <top style="thin">
          <color rgb="FF000000"/>
        </top>
      </border>
    </dxf>
  </rfmt>
  <rcc rId="6094" sId="24" odxf="1" dxf="1" numFmtId="4">
    <nc r="G15">
      <v>311.5</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95" sId="24" odxf="1" dxf="1">
    <nc r="A16">
      <v>12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96" sId="24" odxf="1" dxf="1">
    <nc r="B16" t="inlineStr">
      <is>
        <t>Заглушка желоба левая 120х86 (ПЭ-9003)</t>
      </is>
    </nc>
    <odxf>
      <alignment horizontal="general" vertical="bottom" wrapText="0" readingOrder="0"/>
      <border outline="0">
        <top/>
      </border>
    </odxf>
    <ndxf>
      <alignment horizontal="left" vertical="top" wrapText="1" readingOrder="0"/>
      <border outline="0">
        <top style="thin">
          <color rgb="FF000000"/>
        </top>
      </border>
    </ndxf>
  </rcc>
  <rcc rId="6097" sId="24" odxf="1" dxf="1">
    <nc r="C1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98" sId="24" odxf="1" dxf="1" numFmtId="4">
    <nc r="D16">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6" start="0" length="0">
    <dxf>
      <alignment horizontal="left" vertical="top" wrapText="1" readingOrder="0"/>
      <border outline="0">
        <top style="thin">
          <color rgb="FF000000"/>
        </top>
      </border>
    </dxf>
  </rfmt>
  <rfmt sheetId="24" sqref="F16" start="0" length="0">
    <dxf>
      <alignment horizontal="left" vertical="top" wrapText="1" readingOrder="0"/>
      <border outline="0">
        <left style="thin">
          <color rgb="FF000000"/>
        </left>
        <top style="thin">
          <color rgb="FF000000"/>
        </top>
      </border>
    </dxf>
  </rfmt>
  <rcc rId="6099" sId="24" odxf="1" dxf="1" numFmtId="4">
    <nc r="G16">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00" sId="24" odxf="1" dxf="1">
    <nc r="A17">
      <v>13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01" sId="24" odxf="1" dxf="1">
    <nc r="B17" t="inlineStr">
      <is>
        <t>Заглушка желоба правая 120х86 (ПЭ-9003)</t>
      </is>
    </nc>
    <odxf>
      <alignment horizontal="general" vertical="bottom" wrapText="0" readingOrder="0"/>
      <border outline="0">
        <top/>
      </border>
    </odxf>
    <ndxf>
      <alignment horizontal="left" vertical="top" wrapText="1" readingOrder="0"/>
      <border outline="0">
        <top style="thin">
          <color rgb="FF000000"/>
        </top>
      </border>
    </ndxf>
  </rcc>
  <rcc rId="6102" sId="24" odxf="1" dxf="1">
    <nc r="C1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03" sId="24" odxf="1" dxf="1" numFmtId="4">
    <nc r="D17">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7" start="0" length="0">
    <dxf>
      <alignment horizontal="left" vertical="top" wrapText="1" readingOrder="0"/>
      <border outline="0">
        <top style="thin">
          <color rgb="FF000000"/>
        </top>
      </border>
    </dxf>
  </rfmt>
  <rfmt sheetId="24" sqref="F17" start="0" length="0">
    <dxf>
      <alignment horizontal="left" vertical="top" wrapText="1" readingOrder="0"/>
      <border outline="0">
        <left style="thin">
          <color rgb="FF000000"/>
        </left>
        <top style="thin">
          <color rgb="FF000000"/>
        </top>
      </border>
    </dxf>
  </rfmt>
  <rcc rId="6104" sId="24" odxf="1" dxf="1" numFmtId="4">
    <nc r="G17">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05" sId="24" odxf="1" dxf="1">
    <nc r="A18">
      <v>14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06" sId="24" odxf="1" dxf="1">
    <nc r="B18" t="inlineStr">
      <is>
        <t>Колено трубы 76х102 (ПЭ-9003)</t>
      </is>
    </nc>
    <odxf>
      <alignment horizontal="general" vertical="bottom" wrapText="0" readingOrder="0"/>
      <border outline="0">
        <top/>
      </border>
    </odxf>
    <ndxf>
      <alignment horizontal="left" vertical="top" wrapText="1" readingOrder="0"/>
      <border outline="0">
        <top style="thin">
          <color rgb="FF000000"/>
        </top>
      </border>
    </ndxf>
  </rcc>
  <rcc rId="6107" sId="24" odxf="1" dxf="1">
    <nc r="C1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08" sId="24" odxf="1" dxf="1" numFmtId="4">
    <nc r="D18">
      <v>69.3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8" start="0" length="0">
    <dxf>
      <alignment horizontal="left" vertical="top" wrapText="1" readingOrder="0"/>
      <border outline="0">
        <top style="thin">
          <color rgb="FF000000"/>
        </top>
      </border>
    </dxf>
  </rfmt>
  <rfmt sheetId="24" sqref="F18" start="0" length="0">
    <dxf>
      <alignment horizontal="left" vertical="top" wrapText="1" readingOrder="0"/>
      <border outline="0">
        <left style="thin">
          <color rgb="FF000000"/>
        </left>
        <top style="thin">
          <color rgb="FF000000"/>
        </top>
      </border>
    </dxf>
  </rfmt>
  <rcc rId="6109" sId="24" odxf="1" dxf="1" numFmtId="4">
    <nc r="G18">
      <v>59.4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10" sId="24" odxf="1" dxf="1">
    <nc r="A19">
      <v>15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11" sId="24" odxf="1" dxf="1">
    <nc r="B19" t="inlineStr">
      <is>
        <t>Труба водосточная 76х102х3000 (ПЭ-9003)</t>
      </is>
    </nc>
    <odxf>
      <alignment horizontal="general" vertical="bottom" wrapText="0" readingOrder="0"/>
      <border outline="0">
        <top/>
      </border>
    </odxf>
    <ndxf>
      <alignment horizontal="left" vertical="top" wrapText="1" readingOrder="0"/>
      <border outline="0">
        <top style="thin">
          <color rgb="FF000000"/>
        </top>
      </border>
    </ndxf>
  </rcc>
  <rcc rId="6112" sId="24" odxf="1" dxf="1">
    <nc r="C1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13" sId="24" odxf="1" dxf="1" numFmtId="4">
    <nc r="D19">
      <v>408.1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9" start="0" length="0">
    <dxf>
      <alignment horizontal="left" vertical="top" wrapText="1" readingOrder="0"/>
      <border outline="0">
        <top style="thin">
          <color rgb="FF000000"/>
        </top>
      </border>
    </dxf>
  </rfmt>
  <rfmt sheetId="24" sqref="F19" start="0" length="0">
    <dxf>
      <alignment horizontal="left" vertical="top" wrapText="1" readingOrder="0"/>
      <border outline="0">
        <left style="thin">
          <color rgb="FF000000"/>
        </left>
        <top style="thin">
          <color rgb="FF000000"/>
        </top>
      </border>
    </dxf>
  </rfmt>
  <rcc rId="6114" sId="24" odxf="1" dxf="1" numFmtId="4">
    <nc r="G19">
      <v>349.8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15" sId="24" odxf="1" dxf="1">
    <nc r="A20">
      <v>16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16" sId="24" odxf="1" dxf="1">
    <nc r="B20" t="inlineStr">
      <is>
        <t>Труба водосточная 76х102х3000+колено (ПЭ-9003)</t>
      </is>
    </nc>
    <odxf>
      <alignment horizontal="general" vertical="bottom" wrapText="0" readingOrder="0"/>
      <border outline="0">
        <top/>
      </border>
    </odxf>
    <ndxf>
      <alignment horizontal="left" vertical="top" wrapText="1" readingOrder="0"/>
      <border outline="0">
        <top style="thin">
          <color rgb="FF000000"/>
        </top>
      </border>
    </ndxf>
  </rcc>
  <rcc rId="6117" sId="24" odxf="1" dxf="1">
    <nc r="C2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18" sId="24" odxf="1" dxf="1" numFmtId="4">
    <nc r="D20">
      <v>438.9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0" start="0" length="0">
    <dxf>
      <alignment horizontal="left" vertical="top" wrapText="1" readingOrder="0"/>
      <border outline="0">
        <top style="thin">
          <color rgb="FF000000"/>
        </top>
      </border>
    </dxf>
  </rfmt>
  <rfmt sheetId="24" sqref="F20" start="0" length="0">
    <dxf>
      <alignment horizontal="left" vertical="top" wrapText="1" readingOrder="0"/>
      <border outline="0">
        <left style="thin">
          <color rgb="FF000000"/>
        </left>
        <top style="thin">
          <color rgb="FF000000"/>
        </top>
      </border>
    </dxf>
  </rfmt>
  <rcc rId="6119" sId="24" odxf="1" dxf="1" numFmtId="4">
    <nc r="G20">
      <v>376.2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20" sId="24" odxf="1" dxf="1">
    <nc r="A21">
      <v>17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21" sId="24" odxf="1" dxf="1">
    <nc r="B21" t="inlineStr">
      <is>
        <t>Угол желоба внутренний 120х86 (ПЭ-9003)</t>
      </is>
    </nc>
    <odxf>
      <alignment horizontal="general" vertical="bottom" wrapText="0" readingOrder="0"/>
      <border outline="0">
        <top/>
      </border>
    </odxf>
    <ndxf>
      <alignment horizontal="left" vertical="top" wrapText="1" readingOrder="0"/>
      <border outline="0">
        <top style="thin">
          <color rgb="FF000000"/>
        </top>
      </border>
    </ndxf>
  </rcc>
  <rcc rId="6122" sId="24" odxf="1" dxf="1">
    <nc r="C2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23" sId="24" odxf="1" dxf="1" numFmtId="4">
    <nc r="D21">
      <v>273.39999999999998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1" start="0" length="0">
    <dxf>
      <alignment horizontal="left" vertical="top" wrapText="1" readingOrder="0"/>
      <border outline="0">
        <top style="thin">
          <color rgb="FF000000"/>
        </top>
      </border>
    </dxf>
  </rfmt>
  <rfmt sheetId="24" sqref="F21" start="0" length="0">
    <dxf>
      <alignment horizontal="left" vertical="top" wrapText="1" readingOrder="0"/>
      <border outline="0">
        <left style="thin">
          <color rgb="FF000000"/>
        </left>
        <top style="thin">
          <color rgb="FF000000"/>
        </top>
      </border>
    </dxf>
  </rfmt>
  <rcc rId="6124" sId="24" odxf="1" dxf="1" numFmtId="4">
    <nc r="G21">
      <v>234.3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25" sId="24" odxf="1" dxf="1">
    <nc r="A22">
      <v>18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26" sId="24" odxf="1" dxf="1">
    <nc r="B22" t="inlineStr">
      <is>
        <t>Угол желоба наружный 120х86 (ПЭ-9003)</t>
      </is>
    </nc>
    <odxf>
      <alignment horizontal="general" vertical="bottom" wrapText="0" readingOrder="0"/>
      <border outline="0">
        <top/>
      </border>
    </odxf>
    <ndxf>
      <alignment horizontal="left" vertical="top" wrapText="1" readingOrder="0"/>
      <border outline="0">
        <top style="thin">
          <color rgb="FF000000"/>
        </top>
      </border>
    </ndxf>
  </rcc>
  <rcc rId="6127" sId="24" odxf="1" dxf="1">
    <nc r="C2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28" sId="24" odxf="1" dxf="1" numFmtId="4">
    <nc r="D22">
      <v>300.3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2" start="0" length="0">
    <dxf>
      <alignment horizontal="left" vertical="top" wrapText="1" readingOrder="0"/>
      <border outline="0">
        <top style="thin">
          <color rgb="FF000000"/>
        </top>
      </border>
    </dxf>
  </rfmt>
  <rfmt sheetId="24" sqref="F22" start="0" length="0">
    <dxf>
      <alignment horizontal="left" vertical="top" wrapText="1" readingOrder="0"/>
      <border outline="0">
        <left style="thin">
          <color rgb="FF000000"/>
        </left>
        <top style="thin">
          <color rgb="FF000000"/>
        </top>
      </border>
    </dxf>
  </rfmt>
  <rcc rId="6129" sId="24" odxf="1" dxf="1" numFmtId="4">
    <nc r="G22">
      <v>257.39999999999998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30" sId="24" odxf="1" dxf="1">
    <nc r="A23">
      <v>19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31" sId="24" odxf="1" dxf="1">
    <nc r="B23" t="inlineStr">
      <is>
        <t>Воронка выпускная 76х102 белая</t>
      </is>
    </nc>
    <odxf>
      <alignment horizontal="general" vertical="bottom" wrapText="0" readingOrder="0"/>
      <border outline="0">
        <top/>
      </border>
    </odxf>
    <ndxf>
      <alignment horizontal="left" vertical="top" wrapText="1" readingOrder="0"/>
      <border outline="0">
        <top style="thin">
          <color rgb="FF000000"/>
        </top>
      </border>
    </ndxf>
  </rcc>
  <rcc rId="6132" sId="24" odxf="1" dxf="1">
    <nc r="C2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33" sId="24" odxf="1" dxf="1" numFmtId="4">
    <nc r="D23">
      <v>53.9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3" start="0" length="0">
    <dxf>
      <alignment horizontal="left" vertical="top" wrapText="1" readingOrder="0"/>
      <border outline="0">
        <top style="thin">
          <color rgb="FF000000"/>
        </top>
      </border>
    </dxf>
  </rfmt>
  <rfmt sheetId="24" sqref="F23" start="0" length="0">
    <dxf>
      <alignment horizontal="left" vertical="top" wrapText="1" readingOrder="0"/>
      <border outline="0">
        <left style="thin">
          <color rgb="FF000000"/>
        </left>
        <top style="thin">
          <color rgb="FF000000"/>
        </top>
      </border>
    </dxf>
  </rfmt>
  <rcc rId="6134" sId="24" odxf="1" dxf="1" numFmtId="4">
    <nc r="G23">
      <v>46.2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35" sId="24" odxf="1" dxf="1">
    <nc r="A24">
      <v>20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36" sId="24" odxf="1" dxf="1">
    <nc r="B24" t="inlineStr">
      <is>
        <t>Воронка выпускная 76х102 коричневая</t>
      </is>
    </nc>
    <odxf>
      <alignment horizontal="general" vertical="bottom" wrapText="0" readingOrder="0"/>
      <border outline="0">
        <top/>
      </border>
    </odxf>
    <ndxf>
      <alignment horizontal="left" vertical="top" wrapText="1" readingOrder="0"/>
      <border outline="0">
        <top style="thin">
          <color rgb="FF000000"/>
        </top>
      </border>
    </ndxf>
  </rcc>
  <rcc rId="6137" sId="24" odxf="1" dxf="1">
    <nc r="C2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38" sId="24" odxf="1" dxf="1" numFmtId="4">
    <nc r="D24">
      <v>53.9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4" start="0" length="0">
    <dxf>
      <alignment horizontal="left" vertical="top" wrapText="1" readingOrder="0"/>
      <border outline="0">
        <top style="thin">
          <color rgb="FF000000"/>
        </top>
      </border>
    </dxf>
  </rfmt>
  <rfmt sheetId="24" sqref="F24" start="0" length="0">
    <dxf>
      <alignment horizontal="left" vertical="top" wrapText="1" readingOrder="0"/>
      <border outline="0">
        <left style="thin">
          <color rgb="FF000000"/>
        </left>
        <top style="thin">
          <color rgb="FF000000"/>
        </top>
      </border>
    </dxf>
  </rfmt>
  <rcc rId="6139" sId="24" odxf="1" dxf="1" numFmtId="4">
    <nc r="G24">
      <v>46.2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40" sId="24" odxf="1" dxf="1">
    <nc r="A25">
      <v>21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41" sId="24" odxf="1" dxf="1">
    <nc r="B25" t="inlineStr">
      <is>
        <t>Держатель желоба карнизный 3D 120х86 белый</t>
      </is>
    </nc>
    <odxf>
      <alignment horizontal="general" vertical="bottom" wrapText="0" readingOrder="0"/>
      <border outline="0">
        <top/>
      </border>
    </odxf>
    <ndxf>
      <alignment horizontal="left" vertical="top" wrapText="1" readingOrder="0"/>
      <border outline="0">
        <top style="thin">
          <color rgb="FF000000"/>
        </top>
      </border>
    </ndxf>
  </rcc>
  <rcc rId="6142" sId="24" odxf="1" dxf="1">
    <nc r="C2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43" sId="24" odxf="1" dxf="1" numFmtId="4">
    <nc r="D25">
      <v>88.6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5" start="0" length="0">
    <dxf>
      <alignment horizontal="left" vertical="top" wrapText="1" readingOrder="0"/>
      <border outline="0">
        <top style="thin">
          <color rgb="FF000000"/>
        </top>
      </border>
    </dxf>
  </rfmt>
  <rfmt sheetId="24" sqref="F25" start="0" length="0">
    <dxf>
      <alignment horizontal="left" vertical="top" wrapText="1" readingOrder="0"/>
      <border outline="0">
        <left style="thin">
          <color rgb="FF000000"/>
        </left>
        <top style="thin">
          <color rgb="FF000000"/>
        </top>
      </border>
    </dxf>
  </rfmt>
  <rcc rId="6144" sId="24" odxf="1" dxf="1" numFmtId="4">
    <nc r="G25">
      <v>75.900000000000006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45" sId="24" odxf="1" dxf="1">
    <nc r="A26">
      <v>22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46" sId="24" odxf="1" dxf="1">
    <nc r="B26" t="inlineStr">
      <is>
        <t>Держатель желоба карнизный 3D 120х86 коричневый</t>
      </is>
    </nc>
    <odxf>
      <alignment horizontal="general" vertical="bottom" wrapText="0" readingOrder="0"/>
      <border outline="0">
        <top/>
      </border>
    </odxf>
    <ndxf>
      <alignment horizontal="left" vertical="top" wrapText="1" readingOrder="0"/>
      <border outline="0">
        <top style="thin">
          <color rgb="FF000000"/>
        </top>
      </border>
    </ndxf>
  </rcc>
  <rcc rId="6147" sId="24" odxf="1" dxf="1">
    <nc r="C2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48" sId="24" odxf="1" dxf="1" numFmtId="4">
    <nc r="D26">
      <v>88.6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6" start="0" length="0">
    <dxf>
      <alignment horizontal="left" vertical="top" wrapText="1" readingOrder="0"/>
      <border outline="0">
        <top style="thin">
          <color rgb="FF000000"/>
        </top>
      </border>
    </dxf>
  </rfmt>
  <rfmt sheetId="24" sqref="F26" start="0" length="0">
    <dxf>
      <alignment horizontal="left" vertical="top" wrapText="1" readingOrder="0"/>
      <border outline="0">
        <left style="thin">
          <color rgb="FF000000"/>
        </left>
        <top style="thin">
          <color rgb="FF000000"/>
        </top>
      </border>
    </dxf>
  </rfmt>
  <rcc rId="6149" sId="24" odxf="1" dxf="1" numFmtId="4">
    <nc r="G26">
      <v>75.900000000000006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50" sId="24" odxf="1" dxf="1">
    <nc r="A27">
      <v>23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51" sId="24" odxf="1" dxf="1">
    <nc r="B27" t="inlineStr">
      <is>
        <t>Держатель желоба 120х86 белый</t>
      </is>
    </nc>
    <odxf>
      <alignment horizontal="general" vertical="bottom" wrapText="0" readingOrder="0"/>
      <border outline="0">
        <top/>
      </border>
    </odxf>
    <ndxf>
      <alignment horizontal="left" vertical="top" wrapText="1" readingOrder="0"/>
      <border outline="0">
        <top style="thin">
          <color rgb="FF000000"/>
        </top>
      </border>
    </ndxf>
  </rcc>
  <rcc rId="6152" sId="24" odxf="1" dxf="1">
    <nc r="C2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53" sId="24" odxf="1" dxf="1" numFmtId="4">
    <nc r="D27">
      <v>119.4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7" start="0" length="0">
    <dxf>
      <alignment horizontal="left" vertical="top" wrapText="1" readingOrder="0"/>
      <border outline="0">
        <top style="thin">
          <color rgb="FF000000"/>
        </top>
      </border>
    </dxf>
  </rfmt>
  <rfmt sheetId="24" sqref="F27" start="0" length="0">
    <dxf>
      <alignment horizontal="left" vertical="top" wrapText="1" readingOrder="0"/>
      <border outline="0">
        <left style="thin">
          <color rgb="FF000000"/>
        </left>
        <top style="thin">
          <color rgb="FF000000"/>
        </top>
      </border>
    </dxf>
  </rfmt>
  <rcc rId="6154" sId="24" odxf="1" dxf="1" numFmtId="4">
    <nc r="G27">
      <v>102.3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55" sId="24" odxf="1" dxf="1">
    <nc r="A28">
      <v>24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56" sId="24" odxf="1" dxf="1">
    <nc r="B28" t="inlineStr">
      <is>
        <t>Держатель желоба 120х86 коричневый</t>
      </is>
    </nc>
    <odxf>
      <alignment horizontal="general" vertical="bottom" wrapText="0" readingOrder="0"/>
      <border outline="0">
        <top/>
      </border>
    </odxf>
    <ndxf>
      <alignment horizontal="left" vertical="top" wrapText="1" readingOrder="0"/>
      <border outline="0">
        <top style="thin">
          <color rgb="FF000000"/>
        </top>
      </border>
    </ndxf>
  </rcc>
  <rcc rId="6157" sId="24" odxf="1" dxf="1">
    <nc r="C2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58" sId="24" odxf="1" dxf="1" numFmtId="4">
    <nc r="D28">
      <v>119.4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8" start="0" length="0">
    <dxf>
      <alignment horizontal="left" vertical="top" wrapText="1" readingOrder="0"/>
      <border outline="0">
        <top style="thin">
          <color rgb="FF000000"/>
        </top>
      </border>
    </dxf>
  </rfmt>
  <rfmt sheetId="24" sqref="F28" start="0" length="0">
    <dxf>
      <alignment horizontal="left" vertical="top" wrapText="1" readingOrder="0"/>
      <border outline="0">
        <left style="thin">
          <color rgb="FF000000"/>
        </left>
        <top style="thin">
          <color rgb="FF000000"/>
        </top>
      </border>
    </dxf>
  </rfmt>
  <rcc rId="6159" sId="24" odxf="1" dxf="1" numFmtId="4">
    <nc r="G28">
      <v>102.3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60" sId="24" odxf="1" dxf="1">
    <nc r="A29">
      <v>25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61" sId="24" odxf="1" dxf="1">
    <nc r="B29" t="inlineStr">
      <is>
        <t>Воронка, 125/90, ПЭ 8017</t>
      </is>
    </nc>
    <odxf>
      <alignment horizontal="general" vertical="bottom" wrapText="0" readingOrder="0"/>
      <border outline="0">
        <top/>
      </border>
    </odxf>
    <ndxf>
      <alignment horizontal="left" vertical="top" wrapText="1" readingOrder="0"/>
      <border outline="0">
        <top style="thin">
          <color rgb="FF000000"/>
        </top>
      </border>
    </ndxf>
  </rcc>
  <rcc rId="6162" sId="24" odxf="1" dxf="1">
    <nc r="C2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63" sId="24" odxf="1" dxf="1" numFmtId="4">
    <nc r="D29">
      <v>197.4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9" start="0" length="0">
    <dxf>
      <alignment horizontal="left" vertical="top" wrapText="1" readingOrder="0"/>
      <border outline="0">
        <top style="thin">
          <color rgb="FF000000"/>
        </top>
      </border>
    </dxf>
  </rfmt>
  <rfmt sheetId="24" sqref="F29" start="0" length="0">
    <dxf>
      <alignment horizontal="left" vertical="top" wrapText="1" readingOrder="0"/>
      <border outline="0">
        <left style="thin">
          <color rgb="FF000000"/>
        </left>
        <top style="thin">
          <color rgb="FF000000"/>
        </top>
      </border>
    </dxf>
  </rfmt>
  <rcc rId="6164" sId="24" odxf="1" dxf="1" numFmtId="4">
    <nc r="G29">
      <v>169.2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65" sId="24" odxf="1" dxf="1">
    <nc r="A30">
      <v>26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66" sId="24" odxf="1" dxf="1">
    <nc r="B30" t="inlineStr">
      <is>
        <t>Желоб полукруглый, 125, 3м, ПЭ 8017/8017</t>
      </is>
    </nc>
    <odxf>
      <alignment horizontal="general" vertical="bottom" wrapText="0" readingOrder="0"/>
      <border outline="0">
        <top/>
      </border>
    </odxf>
    <ndxf>
      <alignment horizontal="left" vertical="top" wrapText="1" readingOrder="0"/>
      <border outline="0">
        <top style="thin">
          <color rgb="FF000000"/>
        </top>
      </border>
    </ndxf>
  </rcc>
  <rcc rId="6167" sId="24" odxf="1" dxf="1">
    <nc r="C3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68" sId="24" odxf="1" dxf="1" numFmtId="4">
    <nc r="D30">
      <v>432.6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0" start="0" length="0">
    <dxf>
      <alignment horizontal="left" vertical="top" wrapText="1" readingOrder="0"/>
      <border outline="0">
        <top style="thin">
          <color rgb="FF000000"/>
        </top>
      </border>
    </dxf>
  </rfmt>
  <rfmt sheetId="24" sqref="F30" start="0" length="0">
    <dxf>
      <alignment horizontal="left" vertical="top" wrapText="1" readingOrder="0"/>
      <border outline="0">
        <left style="thin">
          <color rgb="FF000000"/>
        </left>
        <top style="thin">
          <color rgb="FF000000"/>
        </top>
      </border>
    </dxf>
  </rfmt>
  <rcc rId="6169" sId="24" odxf="1" dxf="1" numFmtId="4">
    <nc r="G30">
      <v>370.8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70" sId="24" odxf="1" dxf="1">
    <nc r="A31">
      <v>27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71" sId="24" odxf="1" dxf="1">
    <nc r="B31" t="inlineStr">
      <is>
        <t>Заглушка желоба, 125, ПЭ 8017</t>
      </is>
    </nc>
    <odxf>
      <alignment horizontal="general" vertical="bottom" wrapText="0" readingOrder="0"/>
      <border outline="0">
        <top/>
      </border>
    </odxf>
    <ndxf>
      <alignment horizontal="left" vertical="top" wrapText="1" readingOrder="0"/>
      <border outline="0">
        <top style="thin">
          <color rgb="FF000000"/>
        </top>
      </border>
    </ndxf>
  </rcc>
  <rcc rId="6172" sId="24" odxf="1" dxf="1">
    <nc r="C3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73" sId="24" odxf="1" dxf="1" numFmtId="4">
    <nc r="D31">
      <v>67.2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1" start="0" length="0">
    <dxf>
      <alignment horizontal="left" vertical="top" wrapText="1" readingOrder="0"/>
      <border outline="0">
        <top style="thin">
          <color rgb="FF000000"/>
        </top>
      </border>
    </dxf>
  </rfmt>
  <rfmt sheetId="24" sqref="F31" start="0" length="0">
    <dxf>
      <alignment horizontal="left" vertical="top" wrapText="1" readingOrder="0"/>
      <border outline="0">
        <left style="thin">
          <color rgb="FF000000"/>
        </left>
        <top style="thin">
          <color rgb="FF000000"/>
        </top>
      </border>
    </dxf>
  </rfmt>
  <rcc rId="6174" sId="24" odxf="1" dxf="1" numFmtId="4">
    <nc r="G31">
      <v>57.6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75" sId="24" odxf="1" dxf="1">
    <nc r="A32">
      <v>28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76" sId="24" odxf="1" dxf="1">
    <nc r="B32" t="inlineStr">
      <is>
        <t>Колено 60гр, 90,  ПЭ 8017</t>
      </is>
    </nc>
    <odxf>
      <alignment horizontal="general" vertical="bottom" wrapText="0" readingOrder="0"/>
      <border outline="0">
        <top/>
      </border>
    </odxf>
    <ndxf>
      <alignment horizontal="left" vertical="top" wrapText="1" readingOrder="0"/>
      <border outline="0">
        <top style="thin">
          <color rgb="FF000000"/>
        </top>
      </border>
    </ndxf>
  </rcc>
  <rcc rId="6177" sId="24" odxf="1" dxf="1">
    <nc r="C3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78" sId="24" odxf="1" dxf="1" numFmtId="4">
    <nc r="D32">
      <v>180.6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2" start="0" length="0">
    <dxf>
      <alignment horizontal="left" vertical="top" wrapText="1" readingOrder="0"/>
      <border outline="0">
        <top style="thin">
          <color rgb="FF000000"/>
        </top>
      </border>
    </dxf>
  </rfmt>
  <rfmt sheetId="24" sqref="F32" start="0" length="0">
    <dxf>
      <alignment horizontal="left" vertical="top" wrapText="1" readingOrder="0"/>
      <border outline="0">
        <left style="thin">
          <color rgb="FF000000"/>
        </left>
        <top style="thin">
          <color rgb="FF000000"/>
        </top>
      </border>
    </dxf>
  </rfmt>
  <rcc rId="6179" sId="24" odxf="1" dxf="1" numFmtId="4">
    <nc r="G32">
      <v>154.80000000000001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80" sId="24" odxf="1" dxf="1">
    <nc r="A33">
      <v>29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81" sId="24" odxf="1" dxf="1">
    <nc r="B33" t="inlineStr">
      <is>
        <t>Колено стока, 90,  ПЭ 8017</t>
      </is>
    </nc>
    <odxf>
      <alignment horizontal="general" vertical="bottom" wrapText="0" readingOrder="0"/>
      <border outline="0">
        <top/>
      </border>
    </odxf>
    <ndxf>
      <alignment horizontal="left" vertical="top" wrapText="1" readingOrder="0"/>
      <border outline="0">
        <top style="thin">
          <color rgb="FF000000"/>
        </top>
      </border>
    </ndxf>
  </rcc>
  <rcc rId="6182" sId="24" odxf="1" dxf="1">
    <nc r="C3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83" sId="24" odxf="1" dxf="1" numFmtId="4">
    <nc r="D33">
      <v>189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3" start="0" length="0">
    <dxf>
      <alignment horizontal="left" vertical="top" wrapText="1" readingOrder="0"/>
      <border outline="0">
        <top style="thin">
          <color rgb="FF000000"/>
        </top>
      </border>
    </dxf>
  </rfmt>
  <rfmt sheetId="24" sqref="F33" start="0" length="0">
    <dxf>
      <alignment horizontal="left" vertical="top" wrapText="1" readingOrder="0"/>
      <border outline="0">
        <left style="thin">
          <color rgb="FF000000"/>
        </left>
        <top style="thin">
          <color rgb="FF000000"/>
        </top>
      </border>
    </dxf>
  </rfmt>
  <rcc rId="6184" sId="24" odxf="1" dxf="1" numFmtId="4">
    <nc r="G33">
      <v>162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85" sId="24" odxf="1" dxf="1">
    <nc r="A34">
      <v>30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86" sId="24" odxf="1" dxf="1">
    <nc r="B34" t="inlineStr">
      <is>
        <t>Кронштейн трубы 90,  ПЭ 8017</t>
      </is>
    </nc>
    <odxf>
      <alignment horizontal="general" vertical="bottom" wrapText="0" readingOrder="0"/>
      <border outline="0">
        <top/>
      </border>
    </odxf>
    <ndxf>
      <alignment horizontal="left" vertical="top" wrapText="1" readingOrder="0"/>
      <border outline="0">
        <top style="thin">
          <color rgb="FF000000"/>
        </top>
      </border>
    </ndxf>
  </rcc>
  <rcc rId="6187" sId="24" odxf="1" dxf="1">
    <nc r="C3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88" sId="24" odxf="1" dxf="1" numFmtId="4">
    <nc r="D34">
      <v>96.6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4" start="0" length="0">
    <dxf>
      <alignment horizontal="left" vertical="top" wrapText="1" readingOrder="0"/>
      <border outline="0">
        <top style="thin">
          <color rgb="FF000000"/>
        </top>
      </border>
    </dxf>
  </rfmt>
  <rfmt sheetId="24" sqref="F34" start="0" length="0">
    <dxf>
      <alignment horizontal="left" vertical="top" wrapText="1" readingOrder="0"/>
      <border outline="0">
        <left style="thin">
          <color rgb="FF000000"/>
        </left>
        <top style="thin">
          <color rgb="FF000000"/>
        </top>
      </border>
    </dxf>
  </rfmt>
  <rcc rId="6189" sId="24" odxf="1" dxf="1" numFmtId="4">
    <nc r="G34">
      <v>82.8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90" sId="24" odxf="1" dxf="1">
    <nc r="A35">
      <v>31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91" sId="24" odxf="1" dxf="1">
    <nc r="B35" t="inlineStr">
      <is>
        <t>Соединитель желоба, 125, ПЭ 8017</t>
      </is>
    </nc>
    <odxf>
      <alignment horizontal="general" vertical="bottom" wrapText="0" readingOrder="0"/>
      <border outline="0">
        <top/>
      </border>
    </odxf>
    <ndxf>
      <alignment horizontal="left" vertical="top" wrapText="1" readingOrder="0"/>
      <border outline="0">
        <top style="thin">
          <color rgb="FF000000"/>
        </top>
      </border>
    </ndxf>
  </rcc>
  <rcc rId="6192" sId="24" odxf="1" dxf="1">
    <nc r="C3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93" sId="24" odxf="1" dxf="1" numFmtId="4">
    <nc r="D35">
      <v>105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5" start="0" length="0">
    <dxf>
      <alignment horizontal="left" vertical="top" wrapText="1" readingOrder="0"/>
      <border outline="0">
        <top style="thin">
          <color rgb="FF000000"/>
        </top>
      </border>
    </dxf>
  </rfmt>
  <rfmt sheetId="24" sqref="F35" start="0" length="0">
    <dxf>
      <alignment horizontal="left" vertical="top" wrapText="1" readingOrder="0"/>
      <border outline="0">
        <left style="thin">
          <color rgb="FF000000"/>
        </left>
        <top style="thin">
          <color rgb="FF000000"/>
        </top>
      </border>
    </dxf>
  </rfmt>
  <rcc rId="6194" sId="24" odxf="1" dxf="1" numFmtId="4">
    <nc r="G35">
      <v>90</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95" sId="24" odxf="1" dxf="1">
    <nc r="A36">
      <v>32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96" sId="24" odxf="1" dxf="1">
    <nc r="B36" t="inlineStr">
      <is>
        <t>Труба круглая соединит., 90, 1м,  ПЭ 8017</t>
      </is>
    </nc>
    <odxf>
      <alignment horizontal="general" vertical="bottom" wrapText="0" readingOrder="0"/>
      <border outline="0">
        <top/>
      </border>
    </odxf>
    <ndxf>
      <alignment horizontal="left" vertical="top" wrapText="1" readingOrder="0"/>
      <border outline="0">
        <top style="thin">
          <color rgb="FF000000"/>
        </top>
      </border>
    </ndxf>
  </rcc>
  <rcc rId="6197" sId="24" odxf="1" dxf="1">
    <nc r="C3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98" sId="24" odxf="1" dxf="1" numFmtId="4">
    <nc r="D36">
      <v>193.2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6" start="0" length="0">
    <dxf>
      <alignment horizontal="left" vertical="top" wrapText="1" readingOrder="0"/>
      <border outline="0">
        <top style="thin">
          <color rgb="FF000000"/>
        </top>
      </border>
    </dxf>
  </rfmt>
  <rfmt sheetId="24" sqref="F36" start="0" length="0">
    <dxf>
      <alignment horizontal="left" vertical="top" wrapText="1" readingOrder="0"/>
      <border outline="0">
        <left style="thin">
          <color rgb="FF000000"/>
        </left>
        <top style="thin">
          <color rgb="FF000000"/>
        </top>
      </border>
    </dxf>
  </rfmt>
  <rcc rId="6199" sId="24" odxf="1" dxf="1" numFmtId="4">
    <nc r="G36">
      <v>165.6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00" sId="24" odxf="1" dxf="1">
    <nc r="A37">
      <v>33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01" sId="24" odxf="1" dxf="1">
    <nc r="B37" t="inlineStr">
      <is>
        <t>Труба круглая, 90, 3м,  ПЭ 8017</t>
      </is>
    </nc>
    <odxf>
      <alignment horizontal="general" vertical="bottom" wrapText="0" readingOrder="0"/>
      <border outline="0">
        <top/>
      </border>
    </odxf>
    <ndxf>
      <alignment horizontal="left" vertical="top" wrapText="1" readingOrder="0"/>
      <border outline="0">
        <top style="thin">
          <color rgb="FF000000"/>
        </top>
      </border>
    </ndxf>
  </rcc>
  <rcc rId="6202" sId="24" odxf="1" dxf="1">
    <nc r="C3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03" sId="24" odxf="1" dxf="1" numFmtId="4">
    <nc r="D37">
      <v>579.6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7" start="0" length="0">
    <dxf>
      <alignment horizontal="left" vertical="top" wrapText="1" readingOrder="0"/>
      <border outline="0">
        <top style="thin">
          <color rgb="FF000000"/>
        </top>
      </border>
    </dxf>
  </rfmt>
  <rfmt sheetId="24" sqref="F37" start="0" length="0">
    <dxf>
      <alignment horizontal="left" vertical="top" wrapText="1" readingOrder="0"/>
      <border outline="0">
        <left style="thin">
          <color rgb="FF000000"/>
        </left>
        <top style="thin">
          <color rgb="FF000000"/>
        </top>
      </border>
    </dxf>
  </rfmt>
  <rcc rId="6204" sId="24" odxf="1" dxf="1" numFmtId="4">
    <nc r="G37">
      <v>496.8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05" sId="24" odxf="1" dxf="1">
    <nc r="A38">
      <v>34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06" sId="24" odxf="1" dxf="1">
    <nc r="B38" t="inlineStr">
      <is>
        <t>Угол желоба внешний, 90 гр.125, ПЭ 8017</t>
      </is>
    </nc>
    <odxf>
      <alignment horizontal="general" vertical="bottom" wrapText="0" readingOrder="0"/>
      <border outline="0">
        <top/>
      </border>
    </odxf>
    <ndxf>
      <alignment horizontal="left" vertical="top" wrapText="1" readingOrder="0"/>
      <border outline="0">
        <top style="thin">
          <color rgb="FF000000"/>
        </top>
      </border>
    </ndxf>
  </rcc>
  <rcc rId="6207" sId="24" odxf="1" dxf="1">
    <nc r="C3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08" sId="24" odxf="1" dxf="1" numFmtId="4">
    <nc r="D38">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8" start="0" length="0">
    <dxf>
      <alignment horizontal="left" vertical="top" wrapText="1" readingOrder="0"/>
      <border outline="0">
        <top style="thin">
          <color rgb="FF000000"/>
        </top>
      </border>
    </dxf>
  </rfmt>
  <rfmt sheetId="24" sqref="F38" start="0" length="0">
    <dxf>
      <alignment horizontal="left" vertical="top" wrapText="1" readingOrder="0"/>
      <border outline="0">
        <left style="thin">
          <color rgb="FF000000"/>
        </left>
        <top style="thin">
          <color rgb="FF000000"/>
        </top>
      </border>
    </dxf>
  </rfmt>
  <rcc rId="6209" sId="24" odxf="1" dxf="1" numFmtId="4">
    <nc r="G38">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10" sId="24" odxf="1" dxf="1">
    <nc r="A39">
      <v>35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11" sId="24" odxf="1" dxf="1">
    <nc r="B39" t="inlineStr">
      <is>
        <t>Угол желоба внутренний, 90 гр.125, ПЭ 8017</t>
      </is>
    </nc>
    <odxf>
      <alignment horizontal="general" vertical="bottom" wrapText="0" readingOrder="0"/>
      <border outline="0">
        <top/>
      </border>
    </odxf>
    <ndxf>
      <alignment horizontal="left" vertical="top" wrapText="1" readingOrder="0"/>
      <border outline="0">
        <top style="thin">
          <color rgb="FF000000"/>
        </top>
      </border>
    </ndxf>
  </rcc>
  <rcc rId="6212" sId="24" odxf="1" dxf="1">
    <nc r="C3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13" sId="24" odxf="1" dxf="1" numFmtId="4">
    <nc r="D39">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9" start="0" length="0">
    <dxf>
      <alignment horizontal="left" vertical="top" wrapText="1" readingOrder="0"/>
      <border outline="0">
        <top style="thin">
          <color rgb="FF000000"/>
        </top>
      </border>
    </dxf>
  </rfmt>
  <rfmt sheetId="24" sqref="F39" start="0" length="0">
    <dxf>
      <alignment horizontal="left" vertical="top" wrapText="1" readingOrder="0"/>
      <border outline="0">
        <left style="thin">
          <color rgb="FF000000"/>
        </left>
        <top style="thin">
          <color rgb="FF000000"/>
        </top>
      </border>
    </dxf>
  </rfmt>
  <rcc rId="6214" sId="24" odxf="1" dxf="1" numFmtId="4">
    <nc r="G39">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15" sId="24" odxf="1" dxf="1">
    <nc r="A40">
      <v>36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16" sId="24" odxf="1" dxf="1">
    <nc r="B40" t="inlineStr">
      <is>
        <t>Воронка, 125/90, ПЭ 9003</t>
      </is>
    </nc>
    <odxf>
      <alignment horizontal="general" vertical="bottom" wrapText="0" readingOrder="0"/>
      <border outline="0">
        <top/>
      </border>
    </odxf>
    <ndxf>
      <alignment horizontal="left" vertical="top" wrapText="1" readingOrder="0"/>
      <border outline="0">
        <top style="thin">
          <color rgb="FF000000"/>
        </top>
      </border>
    </ndxf>
  </rcc>
  <rcc rId="6217" sId="24" odxf="1" dxf="1">
    <nc r="C4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18" sId="24" odxf="1" dxf="1" numFmtId="4">
    <nc r="D40">
      <v>197.4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0" start="0" length="0">
    <dxf>
      <alignment horizontal="left" vertical="top" wrapText="1" readingOrder="0"/>
      <border outline="0">
        <top style="thin">
          <color rgb="FF000000"/>
        </top>
      </border>
    </dxf>
  </rfmt>
  <rfmt sheetId="24" sqref="F40" start="0" length="0">
    <dxf>
      <alignment horizontal="left" vertical="top" wrapText="1" readingOrder="0"/>
      <border outline="0">
        <left style="thin">
          <color rgb="FF000000"/>
        </left>
        <top style="thin">
          <color rgb="FF000000"/>
        </top>
      </border>
    </dxf>
  </rfmt>
  <rcc rId="6219" sId="24" odxf="1" dxf="1" numFmtId="4">
    <nc r="G40">
      <v>169.2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20" sId="24" odxf="1" dxf="1">
    <nc r="A41">
      <v>37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21" sId="24" odxf="1" dxf="1">
    <nc r="B41" t="inlineStr">
      <is>
        <t>Желоб полукруглый, 125, 3м, ПЭ 9003/9003</t>
      </is>
    </nc>
    <odxf>
      <alignment horizontal="general" vertical="bottom" wrapText="0" readingOrder="0"/>
      <border outline="0">
        <top/>
      </border>
    </odxf>
    <ndxf>
      <alignment horizontal="left" vertical="top" wrapText="1" readingOrder="0"/>
      <border outline="0">
        <top style="thin">
          <color rgb="FF000000"/>
        </top>
      </border>
    </ndxf>
  </rcc>
  <rcc rId="6222" sId="24" odxf="1" dxf="1">
    <nc r="C4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23" sId="24" odxf="1" dxf="1" numFmtId="4">
    <nc r="D41">
      <v>432.6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1" start="0" length="0">
    <dxf>
      <alignment horizontal="left" vertical="top" wrapText="1" readingOrder="0"/>
      <border outline="0">
        <top style="thin">
          <color rgb="FF000000"/>
        </top>
      </border>
    </dxf>
  </rfmt>
  <rfmt sheetId="24" sqref="F41" start="0" length="0">
    <dxf>
      <alignment horizontal="left" vertical="top" wrapText="1" readingOrder="0"/>
      <border outline="0">
        <left style="thin">
          <color rgb="FF000000"/>
        </left>
        <top style="thin">
          <color rgb="FF000000"/>
        </top>
      </border>
    </dxf>
  </rfmt>
  <rcc rId="6224" sId="24" odxf="1" dxf="1" numFmtId="4">
    <nc r="G41">
      <v>370.8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25" sId="24" odxf="1" dxf="1">
    <nc r="A42">
      <v>38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26" sId="24" odxf="1" dxf="1">
    <nc r="B42" t="inlineStr">
      <is>
        <t>Заглушка желоба, 125, ПЭ 9003</t>
      </is>
    </nc>
    <odxf>
      <alignment horizontal="general" vertical="bottom" wrapText="0" readingOrder="0"/>
      <border outline="0">
        <top/>
      </border>
    </odxf>
    <ndxf>
      <alignment horizontal="left" vertical="top" wrapText="1" readingOrder="0"/>
      <border outline="0">
        <top style="thin">
          <color rgb="FF000000"/>
        </top>
      </border>
    </ndxf>
  </rcc>
  <rcc rId="6227" sId="24" odxf="1" dxf="1">
    <nc r="C4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28" sId="24" odxf="1" dxf="1" numFmtId="4">
    <nc r="D42">
      <v>67.2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2" start="0" length="0">
    <dxf>
      <alignment horizontal="left" vertical="top" wrapText="1" readingOrder="0"/>
      <border outline="0">
        <top style="thin">
          <color rgb="FF000000"/>
        </top>
      </border>
    </dxf>
  </rfmt>
  <rfmt sheetId="24" sqref="F42" start="0" length="0">
    <dxf>
      <alignment horizontal="left" vertical="top" wrapText="1" readingOrder="0"/>
      <border outline="0">
        <left style="thin">
          <color rgb="FF000000"/>
        </left>
        <top style="thin">
          <color rgb="FF000000"/>
        </top>
      </border>
    </dxf>
  </rfmt>
  <rcc rId="6229" sId="24" odxf="1" dxf="1" numFmtId="4">
    <nc r="G42">
      <v>57.6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30" sId="24" odxf="1" dxf="1">
    <nc r="A43">
      <v>39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31" sId="24" odxf="1" dxf="1">
    <nc r="B43" t="inlineStr">
      <is>
        <t>Колено 60гр, 90,  ПЭ 9003</t>
      </is>
    </nc>
    <odxf>
      <alignment horizontal="general" vertical="bottom" wrapText="0" readingOrder="0"/>
      <border outline="0">
        <top/>
      </border>
    </odxf>
    <ndxf>
      <alignment horizontal="left" vertical="top" wrapText="1" readingOrder="0"/>
      <border outline="0">
        <top style="thin">
          <color rgb="FF000000"/>
        </top>
      </border>
    </ndxf>
  </rcc>
  <rcc rId="6232" sId="24" odxf="1" dxf="1">
    <nc r="C4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33" sId="24" odxf="1" dxf="1" numFmtId="4">
    <nc r="D43">
      <v>180.6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3" start="0" length="0">
    <dxf>
      <alignment horizontal="left" vertical="top" wrapText="1" readingOrder="0"/>
      <border outline="0">
        <top style="thin">
          <color rgb="FF000000"/>
        </top>
      </border>
    </dxf>
  </rfmt>
  <rfmt sheetId="24" sqref="F43" start="0" length="0">
    <dxf>
      <alignment horizontal="left" vertical="top" wrapText="1" readingOrder="0"/>
      <border outline="0">
        <left style="thin">
          <color rgb="FF000000"/>
        </left>
        <top style="thin">
          <color rgb="FF000000"/>
        </top>
      </border>
    </dxf>
  </rfmt>
  <rcc rId="6234" sId="24" odxf="1" dxf="1" numFmtId="4">
    <nc r="G43">
      <v>154.80000000000001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35" sId="24" odxf="1" dxf="1">
    <nc r="A44">
      <v>40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36" sId="24" odxf="1" dxf="1">
    <nc r="B44" t="inlineStr">
      <is>
        <t>Колено стока, 90,  ПЭ 9003</t>
      </is>
    </nc>
    <odxf>
      <alignment horizontal="general" vertical="bottom" wrapText="0" readingOrder="0"/>
      <border outline="0">
        <top/>
      </border>
    </odxf>
    <ndxf>
      <alignment horizontal="left" vertical="top" wrapText="1" readingOrder="0"/>
      <border outline="0">
        <top style="thin">
          <color rgb="FF000000"/>
        </top>
      </border>
    </ndxf>
  </rcc>
  <rcc rId="6237" sId="24" odxf="1" dxf="1">
    <nc r="C4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38" sId="24" odxf="1" dxf="1" numFmtId="4">
    <nc r="D44">
      <v>189</v>
    </nc>
    <odxf>
      <numFmt numFmtId="0" formatCode="General"/>
      <fill>
        <patternFill patternType="none">
          <bgColor indexed="65"/>
        </patternFill>
      </fill>
      <alignment horizontal="general" vertical="bottom" wrapText="0" readingOrder="0"/>
      <border outline="0">
        <left/>
        <right/>
        <top/>
        <bottom/>
      </border>
    </odxf>
    <ndxf>
      <numFmt numFmtId="2" formatCode="0.00"/>
      <fill>
        <patternFill patternType="solid">
          <bgColor theme="0"/>
        </patternFill>
      </fill>
      <alignment horizontal="center" vertical="top" wrapText="1" readingOrder="0"/>
      <border outline="0">
        <left style="thin">
          <color indexed="64"/>
        </left>
        <right style="thin">
          <color indexed="64"/>
        </right>
        <top style="thin">
          <color indexed="64"/>
        </top>
        <bottom style="thin">
          <color indexed="64"/>
        </bottom>
      </border>
    </ndxf>
  </rcc>
  <rfmt sheetId="24" sqref="E44" start="0" length="0">
    <dxf>
      <fill>
        <patternFill patternType="solid">
          <bgColor theme="0"/>
        </patternFill>
      </fill>
      <alignment horizontal="left" vertical="top" wrapText="1" readingOrder="0"/>
      <border outline="0">
        <top style="thin">
          <color rgb="FF000000"/>
        </top>
      </border>
    </dxf>
  </rfmt>
  <rfmt sheetId="24" sqref="F44" start="0" length="0">
    <dxf>
      <fill>
        <patternFill patternType="solid">
          <bgColor theme="0"/>
        </patternFill>
      </fill>
      <alignment horizontal="left" vertical="top" wrapText="1" readingOrder="0"/>
      <border outline="0">
        <left style="thin">
          <color rgb="FF000000"/>
        </left>
        <top style="thin">
          <color rgb="FF000000"/>
        </top>
      </border>
    </dxf>
  </rfmt>
  <rcc rId="6239" sId="24" odxf="1" dxf="1" numFmtId="4">
    <nc r="G44">
      <v>162</v>
    </nc>
    <odxf>
      <numFmt numFmtId="0" formatCode="General"/>
      <fill>
        <patternFill patternType="none">
          <bgColor indexed="65"/>
        </patternFill>
      </fill>
      <alignment horizontal="general" vertical="bottom" readingOrder="0"/>
      <border outline="0">
        <left/>
        <right/>
        <top/>
        <bottom/>
      </border>
    </odxf>
    <ndxf>
      <numFmt numFmtId="2" formatCode="0.00"/>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6240" sId="24" odxf="1" dxf="1">
    <nc r="A45">
      <v>41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41" sId="24" odxf="1" dxf="1">
    <nc r="B45" t="inlineStr">
      <is>
        <t>Кронштейн трубы 90,  ПЭ 9003</t>
      </is>
    </nc>
    <odxf>
      <alignment horizontal="general" vertical="bottom" wrapText="0" readingOrder="0"/>
      <border outline="0">
        <top/>
      </border>
    </odxf>
    <ndxf>
      <alignment horizontal="left" vertical="top" wrapText="1" readingOrder="0"/>
      <border outline="0">
        <top style="thin">
          <color rgb="FF000000"/>
        </top>
      </border>
    </ndxf>
  </rcc>
  <rcc rId="6242" sId="24" odxf="1" dxf="1">
    <nc r="C4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43" sId="24" odxf="1" dxf="1" numFmtId="4">
    <nc r="D45">
      <v>96.6</v>
    </nc>
    <odxf>
      <numFmt numFmtId="0" formatCode="General"/>
      <fill>
        <patternFill patternType="none">
          <bgColor indexed="65"/>
        </patternFill>
      </fill>
      <alignment horizontal="general" vertical="bottom" wrapText="0" readingOrder="0"/>
      <border outline="0">
        <left/>
        <right/>
        <top/>
        <bottom/>
      </border>
    </odxf>
    <ndxf>
      <numFmt numFmtId="2" formatCode="0.00"/>
      <fill>
        <patternFill patternType="solid">
          <bgColor theme="0"/>
        </patternFill>
      </fill>
      <alignment horizontal="center" vertical="top" wrapText="1" readingOrder="0"/>
      <border outline="0">
        <left style="thin">
          <color indexed="64"/>
        </left>
        <right style="thin">
          <color indexed="64"/>
        </right>
        <top style="thin">
          <color indexed="64"/>
        </top>
        <bottom style="thin">
          <color indexed="64"/>
        </bottom>
      </border>
    </ndxf>
  </rcc>
  <rfmt sheetId="24" sqref="E45" start="0" length="0">
    <dxf>
      <fill>
        <patternFill patternType="solid">
          <bgColor theme="0"/>
        </patternFill>
      </fill>
      <alignment horizontal="left" vertical="top" wrapText="1" readingOrder="0"/>
      <border outline="0">
        <top style="thin">
          <color rgb="FF000000"/>
        </top>
      </border>
    </dxf>
  </rfmt>
  <rfmt sheetId="24" sqref="F45" start="0" length="0">
    <dxf>
      <fill>
        <patternFill patternType="solid">
          <bgColor theme="0"/>
        </patternFill>
      </fill>
      <alignment horizontal="left" vertical="top" wrapText="1" readingOrder="0"/>
      <border outline="0">
        <left style="thin">
          <color rgb="FF000000"/>
        </left>
        <top style="thin">
          <color rgb="FF000000"/>
        </top>
      </border>
    </dxf>
  </rfmt>
  <rcc rId="6244" sId="24" odxf="1" dxf="1" numFmtId="4">
    <nc r="G45">
      <v>82.8</v>
    </nc>
    <odxf>
      <numFmt numFmtId="0" formatCode="General"/>
      <fill>
        <patternFill patternType="none">
          <bgColor indexed="65"/>
        </patternFill>
      </fill>
      <alignment horizontal="general" vertical="bottom" readingOrder="0"/>
      <border outline="0">
        <left/>
        <right/>
        <top/>
        <bottom/>
      </border>
    </odxf>
    <ndxf>
      <numFmt numFmtId="2" formatCode="0.00"/>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6245" sId="24" odxf="1" dxf="1">
    <nc r="A46">
      <v>42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46" sId="24" odxf="1" dxf="1">
    <nc r="B46" t="inlineStr">
      <is>
        <t>Соединитель желоба, 125, ПЭ 9003</t>
      </is>
    </nc>
    <odxf>
      <alignment horizontal="general" vertical="bottom" wrapText="0" readingOrder="0"/>
      <border outline="0">
        <top/>
      </border>
    </odxf>
    <ndxf>
      <alignment horizontal="left" vertical="top" wrapText="1" readingOrder="0"/>
      <border outline="0">
        <top style="thin">
          <color rgb="FF000000"/>
        </top>
      </border>
    </ndxf>
  </rcc>
  <rcc rId="6247" sId="24" odxf="1" dxf="1">
    <nc r="C4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48" sId="24" odxf="1" dxf="1" numFmtId="4">
    <nc r="D46">
      <v>105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6" start="0" length="0">
    <dxf>
      <alignment horizontal="left" vertical="top" wrapText="1" readingOrder="0"/>
      <border outline="0">
        <top style="thin">
          <color rgb="FF000000"/>
        </top>
      </border>
    </dxf>
  </rfmt>
  <rfmt sheetId="24" sqref="F46" start="0" length="0">
    <dxf>
      <alignment horizontal="left" vertical="top" wrapText="1" readingOrder="0"/>
      <border outline="0">
        <left style="thin">
          <color rgb="FF000000"/>
        </left>
        <top style="thin">
          <color rgb="FF000000"/>
        </top>
      </border>
    </dxf>
  </rfmt>
  <rcc rId="6249" sId="24" odxf="1" dxf="1" numFmtId="4">
    <nc r="G46">
      <v>90</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50" sId="24" odxf="1" dxf="1">
    <nc r="A47">
      <v>43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51" sId="24" odxf="1" dxf="1">
    <nc r="B47" t="inlineStr">
      <is>
        <t>Труба круглая соединит., 90, 1м,  ПЭ 9003</t>
      </is>
    </nc>
    <odxf>
      <alignment horizontal="general" vertical="bottom" wrapText="0" readingOrder="0"/>
      <border outline="0">
        <top/>
      </border>
    </odxf>
    <ndxf>
      <alignment horizontal="left" vertical="top" wrapText="1" readingOrder="0"/>
      <border outline="0">
        <top style="thin">
          <color rgb="FF000000"/>
        </top>
      </border>
    </ndxf>
  </rcc>
  <rcc rId="6252" sId="24" odxf="1" dxf="1">
    <nc r="C4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53" sId="24" odxf="1" dxf="1" numFmtId="4">
    <nc r="D47">
      <v>193.2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7" start="0" length="0">
    <dxf>
      <alignment horizontal="left" vertical="top" wrapText="1" readingOrder="0"/>
      <border outline="0">
        <top style="thin">
          <color rgb="FF000000"/>
        </top>
      </border>
    </dxf>
  </rfmt>
  <rfmt sheetId="24" sqref="F47" start="0" length="0">
    <dxf>
      <alignment horizontal="left" vertical="top" wrapText="1" readingOrder="0"/>
      <border outline="0">
        <left style="thin">
          <color rgb="FF000000"/>
        </left>
        <top style="thin">
          <color rgb="FF000000"/>
        </top>
      </border>
    </dxf>
  </rfmt>
  <rcc rId="6254" sId="24" odxf="1" dxf="1" numFmtId="4">
    <nc r="G47">
      <v>165.6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55" sId="24" odxf="1" dxf="1">
    <nc r="A48">
      <v>44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56" sId="24" odxf="1" dxf="1">
    <nc r="B48" t="inlineStr">
      <is>
        <t>Труба круглая, 90, 3м,  ПЭ 9003</t>
      </is>
    </nc>
    <odxf>
      <alignment horizontal="general" vertical="bottom" wrapText="0" readingOrder="0"/>
      <border outline="0">
        <top/>
      </border>
    </odxf>
    <ndxf>
      <alignment horizontal="left" vertical="top" wrapText="1" readingOrder="0"/>
      <border outline="0">
        <top style="thin">
          <color rgb="FF000000"/>
        </top>
      </border>
    </ndxf>
  </rcc>
  <rcc rId="6257" sId="24" odxf="1" dxf="1">
    <nc r="C4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58" sId="24" odxf="1" dxf="1" numFmtId="4">
    <nc r="D48">
      <v>579.6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8" start="0" length="0">
    <dxf>
      <alignment horizontal="left" vertical="top" wrapText="1" readingOrder="0"/>
      <border outline="0">
        <top style="thin">
          <color rgb="FF000000"/>
        </top>
      </border>
    </dxf>
  </rfmt>
  <rfmt sheetId="24" sqref="F48" start="0" length="0">
    <dxf>
      <alignment horizontal="left" vertical="top" wrapText="1" readingOrder="0"/>
      <border outline="0">
        <left style="thin">
          <color rgb="FF000000"/>
        </left>
        <top style="thin">
          <color rgb="FF000000"/>
        </top>
      </border>
    </dxf>
  </rfmt>
  <rcc rId="6259" sId="24" odxf="1" dxf="1" numFmtId="4">
    <nc r="G48">
      <v>496.8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60" sId="24" odxf="1" dxf="1">
    <nc r="A49">
      <v>45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61" sId="24" odxf="1" dxf="1">
    <nc r="B49" t="inlineStr">
      <is>
        <t>Угол желоба внешний, 90 гр.125, ПЭ 9003</t>
      </is>
    </nc>
    <odxf>
      <alignment horizontal="general" vertical="bottom" wrapText="0" readingOrder="0"/>
      <border outline="0">
        <top/>
      </border>
    </odxf>
    <ndxf>
      <alignment horizontal="left" vertical="top" wrapText="1" readingOrder="0"/>
      <border outline="0">
        <top style="thin">
          <color rgb="FF000000"/>
        </top>
      </border>
    </ndxf>
  </rcc>
  <rcc rId="6262" sId="24" odxf="1" dxf="1">
    <nc r="C4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63" sId="24" odxf="1" dxf="1" numFmtId="4">
    <nc r="D49">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9" start="0" length="0">
    <dxf>
      <alignment horizontal="left" vertical="top" wrapText="1" readingOrder="0"/>
      <border outline="0">
        <top style="thin">
          <color rgb="FF000000"/>
        </top>
      </border>
    </dxf>
  </rfmt>
  <rfmt sheetId="24" sqref="F49" start="0" length="0">
    <dxf>
      <alignment horizontal="left" vertical="top" wrapText="1" readingOrder="0"/>
      <border outline="0">
        <left style="thin">
          <color rgb="FF000000"/>
        </left>
        <top style="thin">
          <color rgb="FF000000"/>
        </top>
      </border>
    </dxf>
  </rfmt>
  <rcc rId="6264" sId="24" odxf="1" dxf="1" numFmtId="4">
    <nc r="G49">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65" sId="24" odxf="1" dxf="1">
    <nc r="A50">
      <v>46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66" sId="24" odxf="1" dxf="1">
    <nc r="B50" t="inlineStr">
      <is>
        <t>Угол желоба внутренний, 90 гр.125, ПЭ 9003</t>
      </is>
    </nc>
    <odxf>
      <alignment horizontal="general" vertical="bottom" wrapText="0" readingOrder="0"/>
      <border outline="0">
        <top/>
      </border>
    </odxf>
    <ndxf>
      <alignment horizontal="left" vertical="top" wrapText="1" readingOrder="0"/>
      <border outline="0">
        <top style="thin">
          <color rgb="FF000000"/>
        </top>
      </border>
    </ndxf>
  </rcc>
  <rcc rId="6267" sId="24" odxf="1" dxf="1">
    <nc r="C5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68" sId="24" odxf="1" dxf="1" numFmtId="4">
    <nc r="D50">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0" start="0" length="0">
    <dxf>
      <alignment horizontal="left" vertical="top" wrapText="1" readingOrder="0"/>
      <border outline="0">
        <top style="thin">
          <color rgb="FF000000"/>
        </top>
      </border>
    </dxf>
  </rfmt>
  <rfmt sheetId="24" sqref="F50" start="0" length="0">
    <dxf>
      <alignment horizontal="left" vertical="top" wrapText="1" readingOrder="0"/>
      <border outline="0">
        <left style="thin">
          <color rgb="FF000000"/>
        </left>
        <top style="thin">
          <color rgb="FF000000"/>
        </top>
      </border>
    </dxf>
  </rfmt>
  <rcc rId="6269" sId="24" odxf="1" dxf="1" numFmtId="4">
    <nc r="G50">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70" sId="24" odxf="1" dxf="1">
    <nc r="A51">
      <v>47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71" sId="24" odxf="1" dxf="1">
    <nc r="B51" t="inlineStr">
      <is>
        <t>Крюк карнизный 3D, 125,  белый</t>
      </is>
    </nc>
    <odxf>
      <alignment horizontal="general" vertical="bottom" wrapText="0" readingOrder="0"/>
      <border outline="0">
        <top/>
      </border>
    </odxf>
    <ndxf>
      <alignment horizontal="left" vertical="top" wrapText="1" readingOrder="0"/>
      <border outline="0">
        <top style="thin">
          <color rgb="FF000000"/>
        </top>
      </border>
    </ndxf>
  </rcc>
  <rcc rId="6272" sId="24" odxf="1" dxf="1">
    <nc r="C5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73" sId="24" odxf="1" dxf="1" numFmtId="4">
    <nc r="D51">
      <v>113.4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1" start="0" length="0">
    <dxf>
      <alignment horizontal="left" vertical="top" wrapText="1" readingOrder="0"/>
      <border outline="0">
        <top style="thin">
          <color rgb="FF000000"/>
        </top>
      </border>
    </dxf>
  </rfmt>
  <rfmt sheetId="24" sqref="F51" start="0" length="0">
    <dxf>
      <alignment horizontal="left" vertical="top" wrapText="1" readingOrder="0"/>
      <border outline="0">
        <left style="thin">
          <color rgb="FF000000"/>
        </left>
        <top style="thin">
          <color rgb="FF000000"/>
        </top>
      </border>
    </dxf>
  </rfmt>
  <rcc rId="6274" sId="24" odxf="1" dxf="1" numFmtId="4">
    <nc r="G51">
      <v>97.2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75" sId="24" odxf="1" dxf="1">
    <nc r="A52">
      <v>48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76" sId="24" odxf="1" dxf="1">
    <nc r="B52" t="inlineStr">
      <is>
        <t>Крюк карнизный 3D, 125,  коричневый</t>
      </is>
    </nc>
    <odxf>
      <alignment horizontal="general" vertical="bottom" wrapText="0" readingOrder="0"/>
      <border outline="0">
        <top/>
      </border>
    </odxf>
    <ndxf>
      <alignment horizontal="left" vertical="top" wrapText="1" readingOrder="0"/>
      <border outline="0">
        <top style="thin">
          <color rgb="FF000000"/>
        </top>
      </border>
    </ndxf>
  </rcc>
  <rcc rId="6277" sId="24" odxf="1" dxf="1">
    <nc r="C5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78" sId="24" odxf="1" dxf="1" numFmtId="4">
    <nc r="D52">
      <v>113.4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2" start="0" length="0">
    <dxf>
      <alignment horizontal="left" vertical="top" wrapText="1" readingOrder="0"/>
      <border outline="0">
        <top style="thin">
          <color rgb="FF000000"/>
        </top>
      </border>
    </dxf>
  </rfmt>
  <rfmt sheetId="24" sqref="F52" start="0" length="0">
    <dxf>
      <alignment horizontal="left" vertical="top" wrapText="1" readingOrder="0"/>
      <border outline="0">
        <left style="thin">
          <color rgb="FF000000"/>
        </left>
        <top style="thin">
          <color rgb="FF000000"/>
        </top>
      </border>
    </dxf>
  </rfmt>
  <rcc rId="6279" sId="24" odxf="1" dxf="1" numFmtId="4">
    <nc r="G52">
      <v>97.2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80" sId="24" odxf="1" dxf="1">
    <nc r="A53">
      <v>49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81" sId="24" odxf="1" dxf="1">
    <nc r="B53" t="inlineStr">
      <is>
        <t>Крюк, 125х310, белый</t>
      </is>
    </nc>
    <odxf>
      <alignment horizontal="general" vertical="bottom" wrapText="0" readingOrder="0"/>
      <border outline="0">
        <top/>
        <bottom/>
      </border>
    </odxf>
    <ndxf>
      <alignment horizontal="left" vertical="top" wrapText="1" readingOrder="0"/>
      <border outline="0">
        <top style="thin">
          <color indexed="64"/>
        </top>
        <bottom style="thin">
          <color indexed="64"/>
        </bottom>
      </border>
    </ndxf>
  </rcc>
  <rcc rId="6282" sId="24" odxf="1" dxf="1">
    <nc r="C5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83" sId="24" odxf="1" dxf="1" numFmtId="4">
    <nc r="D53">
      <v>184.8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3" start="0" length="0">
    <dxf>
      <alignment horizontal="left" vertical="top" wrapText="1" readingOrder="0"/>
      <border outline="0">
        <right style="thin">
          <color indexed="64"/>
        </right>
        <top style="thin">
          <color indexed="64"/>
        </top>
        <bottom style="thin">
          <color indexed="64"/>
        </bottom>
      </border>
    </dxf>
  </rfmt>
  <rfmt sheetId="24" sqref="F53" start="0" length="0">
    <dxf>
      <alignment horizontal="left" vertical="top" wrapText="1" readingOrder="0"/>
      <border outline="0">
        <left style="thin">
          <color indexed="64"/>
        </left>
        <top style="thin">
          <color indexed="64"/>
        </top>
        <bottom style="thin">
          <color indexed="64"/>
        </bottom>
      </border>
    </dxf>
  </rfmt>
  <rcc rId="6284" sId="24" odxf="1" dxf="1" numFmtId="4">
    <nc r="G53">
      <v>158.4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85" sId="24" odxf="1" dxf="1">
    <nc r="A54">
      <v>50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86" sId="24" odxf="1" dxf="1">
    <nc r="B54" t="inlineStr">
      <is>
        <t>Крюк, 125х310, коричневый</t>
      </is>
    </nc>
    <odxf>
      <alignment horizontal="general" vertical="bottom" wrapText="0" readingOrder="0"/>
      <border outline="0">
        <top/>
        <bottom/>
      </border>
    </odxf>
    <ndxf>
      <alignment horizontal="left" vertical="top" wrapText="1" readingOrder="0"/>
      <border outline="0">
        <top style="thin">
          <color indexed="64"/>
        </top>
        <bottom style="thin">
          <color indexed="64"/>
        </bottom>
      </border>
    </ndxf>
  </rcc>
  <rcc rId="6287" sId="24" odxf="1" dxf="1">
    <nc r="C5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88" sId="24" odxf="1" dxf="1" numFmtId="4">
    <nc r="D54">
      <v>184.8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4" start="0" length="0">
    <dxf>
      <alignment horizontal="left" vertical="top" wrapText="1" readingOrder="0"/>
      <border outline="0">
        <right style="thin">
          <color indexed="64"/>
        </right>
        <top style="thin">
          <color indexed="64"/>
        </top>
        <bottom style="thin">
          <color indexed="64"/>
        </bottom>
      </border>
    </dxf>
  </rfmt>
  <rfmt sheetId="24" sqref="F54" start="0" length="0">
    <dxf>
      <alignment horizontal="left" vertical="top" wrapText="1" readingOrder="0"/>
      <border outline="0">
        <left style="thin">
          <color indexed="64"/>
        </left>
        <top style="thin">
          <color indexed="64"/>
        </top>
        <bottom style="thin">
          <color indexed="64"/>
        </bottom>
      </border>
    </dxf>
  </rfmt>
  <rcc rId="6289" sId="24" odxf="1" dxf="1" numFmtId="4">
    <nc r="G54">
      <v>158.4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fmt sheetId="24" sqref="A3:G3">
    <dxf>
      <alignment wrapText="1"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7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xml><?xml version="1.0" encoding="utf-8"?>
<revisions xmlns="http://schemas.openxmlformats.org/spreadsheetml/2006/main" xmlns:r="http://schemas.openxmlformats.org/officeDocument/2006/relationships">
  <rcc rId="7168" sId="24">
    <oc r="A2" t="inlineStr">
      <is>
        <t>ООО "ЦЕНТР-ТИМ"   Платонов Иван 89536104242  centrtim57@mail.ru  15/03/19</t>
      </is>
    </oc>
    <nc r="A2" t="inlineStr">
      <is>
        <t>ООО "ЦЕНТР-ТИМ"   Платонов Иван 89536104242  centrtim57@mail.ru  28/03/19</t>
      </is>
    </nc>
  </rcc>
  <rfmt sheetId="24" sqref="A3:E3">
    <dxf>
      <fill>
        <patternFill>
          <bgColor theme="0" tint="-0.14999847407452621"/>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1.xml><?xml version="1.0" encoding="utf-8"?>
<revisions xmlns="http://schemas.openxmlformats.org/spreadsheetml/2006/main" xmlns:r="http://schemas.openxmlformats.org/officeDocument/2006/relationships">
  <rfmt sheetId="24" sqref="D4" start="0" length="0">
    <dxf>
      <border>
        <left style="medium">
          <color indexed="64"/>
        </left>
        <right style="medium">
          <color indexed="64"/>
        </right>
        <top style="medium">
          <color indexed="64"/>
        </top>
        <bottom style="medium">
          <color indexed="64"/>
        </bottom>
      </border>
    </dxf>
  </rfmt>
  <rrc rId="6981" sId="24" ref="E1:E1048576" action="deleteCol">
    <rfmt sheetId="24" xfDxf="1" sqref="E1:E1048576" start="0" length="0"/>
    <rfmt sheetId="24" sqref="E3" start="0" length="0">
      <dxf>
        <alignment vertical="top" wrapText="1" readingOrder="0"/>
      </dxf>
    </rfmt>
    <rfmt sheetId="24" sqref="E4" start="0" length="0">
      <dxf>
        <border outline="0">
          <top style="medium">
            <color indexed="64"/>
          </top>
          <bottom style="medium">
            <color indexed="64"/>
          </bottom>
        </border>
      </dxf>
    </rfmt>
    <rfmt sheetId="24" sqref="E5" start="0" length="0">
      <dxf>
        <alignment horizontal="left" vertical="top" wrapText="1" readingOrder="0"/>
      </dxf>
    </rfmt>
    <rfmt sheetId="24" sqref="E6" start="0" length="0">
      <dxf>
        <alignment horizontal="left" vertical="top" wrapText="1" readingOrder="0"/>
        <border outline="0">
          <top style="thin">
            <color rgb="FF000000"/>
          </top>
        </border>
      </dxf>
    </rfmt>
    <rfmt sheetId="24" sqref="E7" start="0" length="0">
      <dxf>
        <alignment horizontal="left" vertical="top" wrapText="1" readingOrder="0"/>
        <border outline="0">
          <top style="thin">
            <color rgb="FF000000"/>
          </top>
        </border>
      </dxf>
    </rfmt>
    <rfmt sheetId="24" sqref="E8" start="0" length="0">
      <dxf>
        <alignment horizontal="left" vertical="top" wrapText="1" readingOrder="0"/>
        <border outline="0">
          <top style="thin">
            <color rgb="FF000000"/>
          </top>
        </border>
      </dxf>
    </rfmt>
    <rfmt sheetId="24" sqref="E9" start="0" length="0">
      <dxf>
        <alignment horizontal="left" vertical="top" wrapText="1" readingOrder="0"/>
        <border outline="0">
          <top style="thin">
            <color rgb="FF000000"/>
          </top>
        </border>
      </dxf>
    </rfmt>
    <rfmt sheetId="24" sqref="E10" start="0" length="0">
      <dxf>
        <alignment horizontal="left" vertical="top" wrapText="1" readingOrder="0"/>
        <border outline="0">
          <top style="thin">
            <color rgb="FF000000"/>
          </top>
        </border>
      </dxf>
    </rfmt>
    <rfmt sheetId="24" sqref="E11" start="0" length="0">
      <dxf>
        <alignment horizontal="left" vertical="top" wrapText="1" readingOrder="0"/>
        <border outline="0">
          <top style="thin">
            <color rgb="FF000000"/>
          </top>
        </border>
      </dxf>
    </rfmt>
    <rfmt sheetId="24" sqref="E12" start="0" length="0">
      <dxf>
        <alignment horizontal="left" vertical="top" wrapText="1" readingOrder="0"/>
        <border outline="0">
          <top style="thin">
            <color rgb="FF000000"/>
          </top>
        </border>
      </dxf>
    </rfmt>
    <rfmt sheetId="24" sqref="E13" start="0" length="0">
      <dxf>
        <alignment horizontal="left" vertical="top" wrapText="1" readingOrder="0"/>
        <border outline="0">
          <top style="thin">
            <color rgb="FF000000"/>
          </top>
        </border>
      </dxf>
    </rfmt>
    <rfmt sheetId="24" sqref="E14" start="0" length="0">
      <dxf>
        <alignment horizontal="left" vertical="top" wrapText="1" readingOrder="0"/>
        <border outline="0">
          <top style="thin">
            <color rgb="FF000000"/>
          </top>
        </border>
      </dxf>
    </rfmt>
    <rfmt sheetId="24" sqref="E15" start="0" length="0">
      <dxf>
        <alignment horizontal="left" vertical="top" wrapText="1" readingOrder="0"/>
        <border outline="0">
          <top style="thin">
            <color rgb="FF000000"/>
          </top>
        </border>
      </dxf>
    </rfmt>
    <rfmt sheetId="24" sqref="E16" start="0" length="0">
      <dxf>
        <alignment horizontal="left" vertical="top" wrapText="1" readingOrder="0"/>
        <border outline="0">
          <top style="thin">
            <color rgb="FF000000"/>
          </top>
        </border>
      </dxf>
    </rfmt>
    <rfmt sheetId="24" sqref="E17" start="0" length="0">
      <dxf>
        <alignment horizontal="left" vertical="top" wrapText="1" readingOrder="0"/>
        <border outline="0">
          <top style="thin">
            <color rgb="FF000000"/>
          </top>
        </border>
      </dxf>
    </rfmt>
    <rfmt sheetId="24" sqref="E18" start="0" length="0">
      <dxf>
        <alignment horizontal="left" vertical="top" wrapText="1" readingOrder="0"/>
        <border outline="0">
          <top style="thin">
            <color rgb="FF000000"/>
          </top>
        </border>
      </dxf>
    </rfmt>
    <rfmt sheetId="24" sqref="E19" start="0" length="0">
      <dxf>
        <alignment horizontal="left" vertical="top" wrapText="1" readingOrder="0"/>
        <border outline="0">
          <top style="thin">
            <color rgb="FF000000"/>
          </top>
        </border>
      </dxf>
    </rfmt>
    <rfmt sheetId="24" sqref="E20" start="0" length="0">
      <dxf>
        <alignment horizontal="left" vertical="top" wrapText="1" readingOrder="0"/>
        <border outline="0">
          <top style="thin">
            <color rgb="FF000000"/>
          </top>
        </border>
      </dxf>
    </rfmt>
    <rfmt sheetId="24" sqref="E21" start="0" length="0">
      <dxf>
        <alignment horizontal="left" vertical="top" wrapText="1" readingOrder="0"/>
        <border outline="0">
          <top style="thin">
            <color rgb="FF000000"/>
          </top>
        </border>
      </dxf>
    </rfmt>
    <rfmt sheetId="24" sqref="E22" start="0" length="0">
      <dxf>
        <alignment horizontal="left" vertical="top" wrapText="1" readingOrder="0"/>
        <border outline="0">
          <top style="thin">
            <color rgb="FF000000"/>
          </top>
        </border>
      </dxf>
    </rfmt>
    <rfmt sheetId="24" sqref="E23" start="0" length="0">
      <dxf>
        <alignment horizontal="left" vertical="top" wrapText="1" readingOrder="0"/>
        <border outline="0">
          <top style="thin">
            <color rgb="FF000000"/>
          </top>
        </border>
      </dxf>
    </rfmt>
    <rfmt sheetId="24" sqref="E24" start="0" length="0">
      <dxf>
        <alignment horizontal="left" vertical="top" wrapText="1" readingOrder="0"/>
        <border outline="0">
          <top style="thin">
            <color rgb="FF000000"/>
          </top>
        </border>
      </dxf>
    </rfmt>
    <rfmt sheetId="24" sqref="E25" start="0" length="0">
      <dxf>
        <alignment horizontal="left" vertical="top" wrapText="1" readingOrder="0"/>
        <border outline="0">
          <top style="thin">
            <color rgb="FF000000"/>
          </top>
        </border>
      </dxf>
    </rfmt>
    <rfmt sheetId="24" sqref="E26" start="0" length="0">
      <dxf>
        <alignment horizontal="left" vertical="top" wrapText="1" readingOrder="0"/>
        <border outline="0">
          <top style="thin">
            <color rgb="FF000000"/>
          </top>
        </border>
      </dxf>
    </rfmt>
    <rfmt sheetId="24" sqref="E27" start="0" length="0">
      <dxf>
        <alignment horizontal="left" vertical="top" wrapText="1" readingOrder="0"/>
        <border outline="0">
          <top style="thin">
            <color rgb="FF000000"/>
          </top>
        </border>
      </dxf>
    </rfmt>
    <rfmt sheetId="24" sqref="E28" start="0" length="0">
      <dxf>
        <alignment horizontal="left" vertical="top" wrapText="1" readingOrder="0"/>
        <border outline="0">
          <top style="thin">
            <color rgb="FF000000"/>
          </top>
        </border>
      </dxf>
    </rfmt>
    <rfmt sheetId="24" sqref="E29" start="0" length="0">
      <dxf>
        <alignment horizontal="left" vertical="top" wrapText="1" readingOrder="0"/>
        <border outline="0">
          <top style="thin">
            <color rgb="FF000000"/>
          </top>
        </border>
      </dxf>
    </rfmt>
    <rfmt sheetId="24" sqref="E30" start="0" length="0">
      <dxf>
        <alignment horizontal="left" vertical="top" wrapText="1" readingOrder="0"/>
        <border outline="0">
          <top style="thin">
            <color rgb="FF000000"/>
          </top>
        </border>
      </dxf>
    </rfmt>
    <rfmt sheetId="24" sqref="E31" start="0" length="0">
      <dxf>
        <alignment horizontal="left" vertical="top" wrapText="1" readingOrder="0"/>
        <border outline="0">
          <top style="thin">
            <color rgb="FF000000"/>
          </top>
        </border>
      </dxf>
    </rfmt>
    <rfmt sheetId="24" sqref="E32" start="0" length="0">
      <dxf>
        <alignment horizontal="left" vertical="top" wrapText="1" readingOrder="0"/>
        <border outline="0">
          <top style="thin">
            <color rgb="FF000000"/>
          </top>
        </border>
      </dxf>
    </rfmt>
    <rfmt sheetId="24" sqref="E33" start="0" length="0">
      <dxf>
        <alignment horizontal="left" vertical="top" wrapText="1" readingOrder="0"/>
        <border outline="0">
          <top style="thin">
            <color rgb="FF000000"/>
          </top>
        </border>
      </dxf>
    </rfmt>
    <rfmt sheetId="24" sqref="E34" start="0" length="0">
      <dxf>
        <alignment horizontal="left" vertical="top" wrapText="1" readingOrder="0"/>
        <border outline="0">
          <top style="thin">
            <color rgb="FF000000"/>
          </top>
        </border>
      </dxf>
    </rfmt>
    <rfmt sheetId="24" sqref="E35" start="0" length="0">
      <dxf>
        <alignment horizontal="left" vertical="top" wrapText="1" readingOrder="0"/>
        <border outline="0">
          <top style="thin">
            <color rgb="FF000000"/>
          </top>
        </border>
      </dxf>
    </rfmt>
    <rfmt sheetId="24" sqref="E36" start="0" length="0">
      <dxf>
        <alignment horizontal="left" vertical="top" wrapText="1" readingOrder="0"/>
        <border outline="0">
          <top style="thin">
            <color rgb="FF000000"/>
          </top>
        </border>
      </dxf>
    </rfmt>
    <rfmt sheetId="24" sqref="E37" start="0" length="0">
      <dxf>
        <alignment horizontal="left" vertical="top" wrapText="1" readingOrder="0"/>
        <border outline="0">
          <top style="thin">
            <color rgb="FF000000"/>
          </top>
        </border>
      </dxf>
    </rfmt>
    <rfmt sheetId="24" sqref="E38" start="0" length="0">
      <dxf>
        <alignment horizontal="left" vertical="top" wrapText="1" readingOrder="0"/>
        <border outline="0">
          <top style="thin">
            <color rgb="FF000000"/>
          </top>
        </border>
      </dxf>
    </rfmt>
    <rfmt sheetId="24" sqref="E39" start="0" length="0">
      <dxf>
        <alignment horizontal="left" vertical="top" wrapText="1" readingOrder="0"/>
        <border outline="0">
          <top style="thin">
            <color rgb="FF000000"/>
          </top>
        </border>
      </dxf>
    </rfmt>
    <rfmt sheetId="24" sqref="E40" start="0" length="0">
      <dxf>
        <alignment horizontal="left" vertical="top" wrapText="1" readingOrder="0"/>
        <border outline="0">
          <top style="thin">
            <color rgb="FF000000"/>
          </top>
        </border>
      </dxf>
    </rfmt>
    <rfmt sheetId="24" sqref="E41" start="0" length="0">
      <dxf>
        <alignment horizontal="left" vertical="top" wrapText="1" readingOrder="0"/>
        <border outline="0">
          <top style="thin">
            <color rgb="FF000000"/>
          </top>
        </border>
      </dxf>
    </rfmt>
    <rfmt sheetId="24" sqref="E42" start="0" length="0">
      <dxf>
        <alignment horizontal="left" vertical="top" wrapText="1" readingOrder="0"/>
        <border outline="0">
          <top style="thin">
            <color rgb="FF000000"/>
          </top>
        </border>
      </dxf>
    </rfmt>
    <rfmt sheetId="24" sqref="E43" start="0" length="0">
      <dxf>
        <alignment horizontal="left" vertical="top" wrapText="1" readingOrder="0"/>
        <border outline="0">
          <top style="thin">
            <color rgb="FF000000"/>
          </top>
        </border>
      </dxf>
    </rfmt>
    <rfmt sheetId="24" sqref="E44" start="0" length="0">
      <dxf>
        <fill>
          <patternFill patternType="solid">
            <bgColor theme="0"/>
          </patternFill>
        </fill>
        <alignment horizontal="left" vertical="top" wrapText="1" readingOrder="0"/>
        <border outline="0">
          <top style="thin">
            <color rgb="FF000000"/>
          </top>
        </border>
      </dxf>
    </rfmt>
    <rfmt sheetId="24" sqref="E45" start="0" length="0">
      <dxf>
        <fill>
          <patternFill patternType="solid">
            <bgColor theme="0"/>
          </patternFill>
        </fill>
        <alignment horizontal="left" vertical="top" wrapText="1" readingOrder="0"/>
        <border outline="0">
          <top style="thin">
            <color rgb="FF000000"/>
          </top>
        </border>
      </dxf>
    </rfmt>
    <rfmt sheetId="24" sqref="E46" start="0" length="0">
      <dxf>
        <alignment horizontal="left" vertical="top" wrapText="1" readingOrder="0"/>
        <border outline="0">
          <top style="thin">
            <color rgb="FF000000"/>
          </top>
        </border>
      </dxf>
    </rfmt>
    <rfmt sheetId="24" sqref="E47" start="0" length="0">
      <dxf>
        <alignment horizontal="left" vertical="top" wrapText="1" readingOrder="0"/>
        <border outline="0">
          <top style="thin">
            <color rgb="FF000000"/>
          </top>
        </border>
      </dxf>
    </rfmt>
    <rfmt sheetId="24" sqref="E48" start="0" length="0">
      <dxf>
        <alignment horizontal="left" vertical="top" wrapText="1" readingOrder="0"/>
        <border outline="0">
          <top style="thin">
            <color rgb="FF000000"/>
          </top>
        </border>
      </dxf>
    </rfmt>
    <rfmt sheetId="24" sqref="E49" start="0" length="0">
      <dxf>
        <alignment horizontal="left" vertical="top" wrapText="1" readingOrder="0"/>
        <border outline="0">
          <top style="thin">
            <color rgb="FF000000"/>
          </top>
        </border>
      </dxf>
    </rfmt>
    <rfmt sheetId="24" sqref="E50" start="0" length="0">
      <dxf>
        <alignment horizontal="left" vertical="top" wrapText="1" readingOrder="0"/>
        <border outline="0">
          <top style="thin">
            <color rgb="FF000000"/>
          </top>
        </border>
      </dxf>
    </rfmt>
    <rfmt sheetId="24" sqref="E51" start="0" length="0">
      <dxf>
        <alignment horizontal="left" vertical="top" wrapText="1" readingOrder="0"/>
        <border outline="0">
          <top style="thin">
            <color rgb="FF000000"/>
          </top>
        </border>
      </dxf>
    </rfmt>
    <rfmt sheetId="24" sqref="E52" start="0" length="0">
      <dxf>
        <alignment horizontal="left" vertical="top" wrapText="1" readingOrder="0"/>
        <border outline="0">
          <top style="thin">
            <color rgb="FF000000"/>
          </top>
        </border>
      </dxf>
    </rfmt>
    <rfmt sheetId="24" sqref="E53" start="0" length="0">
      <dxf>
        <alignment horizontal="left" vertical="top" wrapText="1" readingOrder="0"/>
        <border outline="0">
          <right style="thin">
            <color indexed="64"/>
          </right>
          <top style="thin">
            <color indexed="64"/>
          </top>
          <bottom style="thin">
            <color indexed="64"/>
          </bottom>
        </border>
      </dxf>
    </rfmt>
    <rfmt sheetId="24" sqref="E54" start="0" length="0">
      <dxf>
        <alignment horizontal="left" vertical="top" wrapText="1" readingOrder="0"/>
        <border outline="0">
          <right style="thin">
            <color indexed="64"/>
          </right>
          <top style="thin">
            <color indexed="64"/>
          </top>
          <bottom style="thin">
            <color indexed="64"/>
          </bottom>
        </border>
      </dxf>
    </rfmt>
  </rrc>
  <rrc rId="6982" sId="24" ref="E1:E1048576" action="deleteCol">
    <rfmt sheetId="24" xfDxf="1" sqref="E1:E1048576" start="0" length="0"/>
    <rfmt sheetId="24" sqref="E3" start="0" length="0">
      <dxf>
        <alignment vertical="top" wrapText="1" readingOrder="0"/>
      </dxf>
    </rfmt>
    <rfmt sheetId="24" sqref="E4" start="0" length="0">
      <dxf>
        <border outline="0">
          <top style="medium">
            <color indexed="64"/>
          </top>
          <bottom style="medium">
            <color indexed="64"/>
          </bottom>
        </border>
      </dxf>
    </rfmt>
    <rfmt sheetId="24" sqref="E5" start="0" length="0">
      <dxf>
        <alignment horizontal="left" vertical="top" wrapText="1" readingOrder="0"/>
        <border outline="0">
          <left style="thin">
            <color rgb="FF000000"/>
          </left>
        </border>
      </dxf>
    </rfmt>
    <rfmt sheetId="24" sqref="E6" start="0" length="0">
      <dxf>
        <alignment horizontal="left" vertical="top" wrapText="1" readingOrder="0"/>
        <border outline="0">
          <left style="thin">
            <color rgb="FF000000"/>
          </left>
          <top style="thin">
            <color rgb="FF000000"/>
          </top>
        </border>
      </dxf>
    </rfmt>
    <rfmt sheetId="24" sqref="E7" start="0" length="0">
      <dxf>
        <alignment horizontal="left" vertical="top" wrapText="1" readingOrder="0"/>
        <border outline="0">
          <left style="thin">
            <color rgb="FF000000"/>
          </left>
          <top style="thin">
            <color rgb="FF000000"/>
          </top>
        </border>
      </dxf>
    </rfmt>
    <rfmt sheetId="24" sqref="E8" start="0" length="0">
      <dxf>
        <alignment horizontal="left" vertical="top" wrapText="1" readingOrder="0"/>
        <border outline="0">
          <left style="thin">
            <color rgb="FF000000"/>
          </left>
          <top style="thin">
            <color rgb="FF000000"/>
          </top>
        </border>
      </dxf>
    </rfmt>
    <rfmt sheetId="24" sqref="E9" start="0" length="0">
      <dxf>
        <alignment horizontal="left" vertical="top" wrapText="1" readingOrder="0"/>
        <border outline="0">
          <left style="thin">
            <color rgb="FF000000"/>
          </left>
          <top style="thin">
            <color rgb="FF000000"/>
          </top>
        </border>
      </dxf>
    </rfmt>
    <rfmt sheetId="24" sqref="E10" start="0" length="0">
      <dxf>
        <alignment horizontal="left" vertical="top" wrapText="1" readingOrder="0"/>
        <border outline="0">
          <left style="thin">
            <color rgb="FF000000"/>
          </left>
          <top style="thin">
            <color rgb="FF000000"/>
          </top>
        </border>
      </dxf>
    </rfmt>
    <rfmt sheetId="24" sqref="E11" start="0" length="0">
      <dxf>
        <alignment horizontal="left" vertical="top" wrapText="1" readingOrder="0"/>
        <border outline="0">
          <left style="thin">
            <color rgb="FF000000"/>
          </left>
          <top style="thin">
            <color rgb="FF000000"/>
          </top>
        </border>
      </dxf>
    </rfmt>
    <rfmt sheetId="24" sqref="E12" start="0" length="0">
      <dxf>
        <alignment horizontal="left" vertical="top" wrapText="1" readingOrder="0"/>
        <border outline="0">
          <left style="thin">
            <color rgb="FF000000"/>
          </left>
          <top style="thin">
            <color rgb="FF000000"/>
          </top>
        </border>
      </dxf>
    </rfmt>
    <rfmt sheetId="24" sqref="E13" start="0" length="0">
      <dxf>
        <alignment horizontal="left" vertical="top" wrapText="1" readingOrder="0"/>
        <border outline="0">
          <left style="thin">
            <color rgb="FF000000"/>
          </left>
          <top style="thin">
            <color rgb="FF000000"/>
          </top>
        </border>
      </dxf>
    </rfmt>
    <rfmt sheetId="24" sqref="E14" start="0" length="0">
      <dxf>
        <alignment horizontal="left" vertical="top" wrapText="1" readingOrder="0"/>
        <border outline="0">
          <left style="thin">
            <color rgb="FF000000"/>
          </left>
          <top style="thin">
            <color rgb="FF000000"/>
          </top>
        </border>
      </dxf>
    </rfmt>
    <rfmt sheetId="24" sqref="E15" start="0" length="0">
      <dxf>
        <alignment horizontal="left" vertical="top" wrapText="1" readingOrder="0"/>
        <border outline="0">
          <left style="thin">
            <color rgb="FF000000"/>
          </left>
          <top style="thin">
            <color rgb="FF000000"/>
          </top>
        </border>
      </dxf>
    </rfmt>
    <rfmt sheetId="24" sqref="E16" start="0" length="0">
      <dxf>
        <alignment horizontal="left" vertical="top" wrapText="1" readingOrder="0"/>
        <border outline="0">
          <left style="thin">
            <color rgb="FF000000"/>
          </left>
          <top style="thin">
            <color rgb="FF000000"/>
          </top>
        </border>
      </dxf>
    </rfmt>
    <rfmt sheetId="24" sqref="E17" start="0" length="0">
      <dxf>
        <alignment horizontal="left" vertical="top" wrapText="1" readingOrder="0"/>
        <border outline="0">
          <left style="thin">
            <color rgb="FF000000"/>
          </left>
          <top style="thin">
            <color rgb="FF000000"/>
          </top>
        </border>
      </dxf>
    </rfmt>
    <rfmt sheetId="24" sqref="E18" start="0" length="0">
      <dxf>
        <alignment horizontal="left" vertical="top" wrapText="1" readingOrder="0"/>
        <border outline="0">
          <left style="thin">
            <color rgb="FF000000"/>
          </left>
          <top style="thin">
            <color rgb="FF000000"/>
          </top>
        </border>
      </dxf>
    </rfmt>
    <rfmt sheetId="24" sqref="E19" start="0" length="0">
      <dxf>
        <alignment horizontal="left" vertical="top" wrapText="1" readingOrder="0"/>
        <border outline="0">
          <left style="thin">
            <color rgb="FF000000"/>
          </left>
          <top style="thin">
            <color rgb="FF000000"/>
          </top>
        </border>
      </dxf>
    </rfmt>
    <rfmt sheetId="24" sqref="E20" start="0" length="0">
      <dxf>
        <alignment horizontal="left" vertical="top" wrapText="1" readingOrder="0"/>
        <border outline="0">
          <left style="thin">
            <color rgb="FF000000"/>
          </left>
          <top style="thin">
            <color rgb="FF000000"/>
          </top>
        </border>
      </dxf>
    </rfmt>
    <rfmt sheetId="24" sqref="E21" start="0" length="0">
      <dxf>
        <alignment horizontal="left" vertical="top" wrapText="1" readingOrder="0"/>
        <border outline="0">
          <left style="thin">
            <color rgb="FF000000"/>
          </left>
          <top style="thin">
            <color rgb="FF000000"/>
          </top>
        </border>
      </dxf>
    </rfmt>
    <rfmt sheetId="24" sqref="E22" start="0" length="0">
      <dxf>
        <alignment horizontal="left" vertical="top" wrapText="1" readingOrder="0"/>
        <border outline="0">
          <left style="thin">
            <color rgb="FF000000"/>
          </left>
          <top style="thin">
            <color rgb="FF000000"/>
          </top>
        </border>
      </dxf>
    </rfmt>
    <rfmt sheetId="24" sqref="E23" start="0" length="0">
      <dxf>
        <alignment horizontal="left" vertical="top" wrapText="1" readingOrder="0"/>
        <border outline="0">
          <left style="thin">
            <color rgb="FF000000"/>
          </left>
          <top style="thin">
            <color rgb="FF000000"/>
          </top>
        </border>
      </dxf>
    </rfmt>
    <rfmt sheetId="24" sqref="E24" start="0" length="0">
      <dxf>
        <alignment horizontal="left" vertical="top" wrapText="1" readingOrder="0"/>
        <border outline="0">
          <left style="thin">
            <color rgb="FF000000"/>
          </left>
          <top style="thin">
            <color rgb="FF000000"/>
          </top>
        </border>
      </dxf>
    </rfmt>
    <rfmt sheetId="24" sqref="E25" start="0" length="0">
      <dxf>
        <alignment horizontal="left" vertical="top" wrapText="1" readingOrder="0"/>
        <border outline="0">
          <left style="thin">
            <color rgb="FF000000"/>
          </left>
          <top style="thin">
            <color rgb="FF000000"/>
          </top>
        </border>
      </dxf>
    </rfmt>
    <rfmt sheetId="24" sqref="E26" start="0" length="0">
      <dxf>
        <alignment horizontal="left" vertical="top" wrapText="1" readingOrder="0"/>
        <border outline="0">
          <left style="thin">
            <color rgb="FF000000"/>
          </left>
          <top style="thin">
            <color rgb="FF000000"/>
          </top>
        </border>
      </dxf>
    </rfmt>
    <rfmt sheetId="24" sqref="E27" start="0" length="0">
      <dxf>
        <alignment horizontal="left" vertical="top" wrapText="1" readingOrder="0"/>
        <border outline="0">
          <left style="thin">
            <color rgb="FF000000"/>
          </left>
          <top style="thin">
            <color rgb="FF000000"/>
          </top>
        </border>
      </dxf>
    </rfmt>
    <rfmt sheetId="24" sqref="E28" start="0" length="0">
      <dxf>
        <alignment horizontal="left" vertical="top" wrapText="1" readingOrder="0"/>
        <border outline="0">
          <left style="thin">
            <color rgb="FF000000"/>
          </left>
          <top style="thin">
            <color rgb="FF000000"/>
          </top>
        </border>
      </dxf>
    </rfmt>
    <rfmt sheetId="24" sqref="E29" start="0" length="0">
      <dxf>
        <alignment horizontal="left" vertical="top" wrapText="1" readingOrder="0"/>
        <border outline="0">
          <left style="thin">
            <color rgb="FF000000"/>
          </left>
          <top style="thin">
            <color rgb="FF000000"/>
          </top>
        </border>
      </dxf>
    </rfmt>
    <rfmt sheetId="24" sqref="E30" start="0" length="0">
      <dxf>
        <alignment horizontal="left" vertical="top" wrapText="1" readingOrder="0"/>
        <border outline="0">
          <left style="thin">
            <color rgb="FF000000"/>
          </left>
          <top style="thin">
            <color rgb="FF000000"/>
          </top>
        </border>
      </dxf>
    </rfmt>
    <rfmt sheetId="24" sqref="E31" start="0" length="0">
      <dxf>
        <alignment horizontal="left" vertical="top" wrapText="1" readingOrder="0"/>
        <border outline="0">
          <left style="thin">
            <color rgb="FF000000"/>
          </left>
          <top style="thin">
            <color rgb="FF000000"/>
          </top>
        </border>
      </dxf>
    </rfmt>
    <rfmt sheetId="24" sqref="E32" start="0" length="0">
      <dxf>
        <alignment horizontal="left" vertical="top" wrapText="1" readingOrder="0"/>
        <border outline="0">
          <left style="thin">
            <color rgb="FF000000"/>
          </left>
          <top style="thin">
            <color rgb="FF000000"/>
          </top>
        </border>
      </dxf>
    </rfmt>
    <rfmt sheetId="24" sqref="E33" start="0" length="0">
      <dxf>
        <alignment horizontal="left" vertical="top" wrapText="1" readingOrder="0"/>
        <border outline="0">
          <left style="thin">
            <color rgb="FF000000"/>
          </left>
          <top style="thin">
            <color rgb="FF000000"/>
          </top>
        </border>
      </dxf>
    </rfmt>
    <rfmt sheetId="24" sqref="E34" start="0" length="0">
      <dxf>
        <alignment horizontal="left" vertical="top" wrapText="1" readingOrder="0"/>
        <border outline="0">
          <left style="thin">
            <color rgb="FF000000"/>
          </left>
          <top style="thin">
            <color rgb="FF000000"/>
          </top>
        </border>
      </dxf>
    </rfmt>
    <rfmt sheetId="24" sqref="E35" start="0" length="0">
      <dxf>
        <alignment horizontal="left" vertical="top" wrapText="1" readingOrder="0"/>
        <border outline="0">
          <left style="thin">
            <color rgb="FF000000"/>
          </left>
          <top style="thin">
            <color rgb="FF000000"/>
          </top>
        </border>
      </dxf>
    </rfmt>
    <rfmt sheetId="24" sqref="E36" start="0" length="0">
      <dxf>
        <alignment horizontal="left" vertical="top" wrapText="1" readingOrder="0"/>
        <border outline="0">
          <left style="thin">
            <color rgb="FF000000"/>
          </left>
          <top style="thin">
            <color rgb="FF000000"/>
          </top>
        </border>
      </dxf>
    </rfmt>
    <rfmt sheetId="24" sqref="E37" start="0" length="0">
      <dxf>
        <alignment horizontal="left" vertical="top" wrapText="1" readingOrder="0"/>
        <border outline="0">
          <left style="thin">
            <color rgb="FF000000"/>
          </left>
          <top style="thin">
            <color rgb="FF000000"/>
          </top>
        </border>
      </dxf>
    </rfmt>
    <rfmt sheetId="24" sqref="E38" start="0" length="0">
      <dxf>
        <alignment horizontal="left" vertical="top" wrapText="1" readingOrder="0"/>
        <border outline="0">
          <left style="thin">
            <color rgb="FF000000"/>
          </left>
          <top style="thin">
            <color rgb="FF000000"/>
          </top>
        </border>
      </dxf>
    </rfmt>
    <rfmt sheetId="24" sqref="E39" start="0" length="0">
      <dxf>
        <alignment horizontal="left" vertical="top" wrapText="1" readingOrder="0"/>
        <border outline="0">
          <left style="thin">
            <color rgb="FF000000"/>
          </left>
          <top style="thin">
            <color rgb="FF000000"/>
          </top>
        </border>
      </dxf>
    </rfmt>
    <rfmt sheetId="24" sqref="E40" start="0" length="0">
      <dxf>
        <alignment horizontal="left" vertical="top" wrapText="1" readingOrder="0"/>
        <border outline="0">
          <left style="thin">
            <color rgb="FF000000"/>
          </left>
          <top style="thin">
            <color rgb="FF000000"/>
          </top>
        </border>
      </dxf>
    </rfmt>
    <rfmt sheetId="24" sqref="E41" start="0" length="0">
      <dxf>
        <alignment horizontal="left" vertical="top" wrapText="1" readingOrder="0"/>
        <border outline="0">
          <left style="thin">
            <color rgb="FF000000"/>
          </left>
          <top style="thin">
            <color rgb="FF000000"/>
          </top>
        </border>
      </dxf>
    </rfmt>
    <rfmt sheetId="24" sqref="E42" start="0" length="0">
      <dxf>
        <alignment horizontal="left" vertical="top" wrapText="1" readingOrder="0"/>
        <border outline="0">
          <left style="thin">
            <color rgb="FF000000"/>
          </left>
          <top style="thin">
            <color rgb="FF000000"/>
          </top>
        </border>
      </dxf>
    </rfmt>
    <rfmt sheetId="24" sqref="E43" start="0" length="0">
      <dxf>
        <alignment horizontal="left" vertical="top" wrapText="1" readingOrder="0"/>
        <border outline="0">
          <left style="thin">
            <color rgb="FF000000"/>
          </left>
          <top style="thin">
            <color rgb="FF000000"/>
          </top>
        </border>
      </dxf>
    </rfmt>
    <rfmt sheetId="24" sqref="E44" start="0" length="0">
      <dxf>
        <fill>
          <patternFill patternType="solid">
            <bgColor theme="0"/>
          </patternFill>
        </fill>
        <alignment horizontal="left" vertical="top" wrapText="1" readingOrder="0"/>
        <border outline="0">
          <left style="thin">
            <color rgb="FF000000"/>
          </left>
          <top style="thin">
            <color rgb="FF000000"/>
          </top>
        </border>
      </dxf>
    </rfmt>
    <rfmt sheetId="24" sqref="E45" start="0" length="0">
      <dxf>
        <fill>
          <patternFill patternType="solid">
            <bgColor theme="0"/>
          </patternFill>
        </fill>
        <alignment horizontal="left" vertical="top" wrapText="1" readingOrder="0"/>
        <border outline="0">
          <left style="thin">
            <color rgb="FF000000"/>
          </left>
          <top style="thin">
            <color rgb="FF000000"/>
          </top>
        </border>
      </dxf>
    </rfmt>
    <rfmt sheetId="24" sqref="E46" start="0" length="0">
      <dxf>
        <alignment horizontal="left" vertical="top" wrapText="1" readingOrder="0"/>
        <border outline="0">
          <left style="thin">
            <color rgb="FF000000"/>
          </left>
          <top style="thin">
            <color rgb="FF000000"/>
          </top>
        </border>
      </dxf>
    </rfmt>
    <rfmt sheetId="24" sqref="E47" start="0" length="0">
      <dxf>
        <alignment horizontal="left" vertical="top" wrapText="1" readingOrder="0"/>
        <border outline="0">
          <left style="thin">
            <color rgb="FF000000"/>
          </left>
          <top style="thin">
            <color rgb="FF000000"/>
          </top>
        </border>
      </dxf>
    </rfmt>
    <rfmt sheetId="24" sqref="E48" start="0" length="0">
      <dxf>
        <alignment horizontal="left" vertical="top" wrapText="1" readingOrder="0"/>
        <border outline="0">
          <left style="thin">
            <color rgb="FF000000"/>
          </left>
          <top style="thin">
            <color rgb="FF000000"/>
          </top>
        </border>
      </dxf>
    </rfmt>
    <rfmt sheetId="24" sqref="E49" start="0" length="0">
      <dxf>
        <alignment horizontal="left" vertical="top" wrapText="1" readingOrder="0"/>
        <border outline="0">
          <left style="thin">
            <color rgb="FF000000"/>
          </left>
          <top style="thin">
            <color rgb="FF000000"/>
          </top>
        </border>
      </dxf>
    </rfmt>
    <rfmt sheetId="24" sqref="E50" start="0" length="0">
      <dxf>
        <alignment horizontal="left" vertical="top" wrapText="1" readingOrder="0"/>
        <border outline="0">
          <left style="thin">
            <color rgb="FF000000"/>
          </left>
          <top style="thin">
            <color rgb="FF000000"/>
          </top>
        </border>
      </dxf>
    </rfmt>
    <rfmt sheetId="24" sqref="E51" start="0" length="0">
      <dxf>
        <alignment horizontal="left" vertical="top" wrapText="1" readingOrder="0"/>
        <border outline="0">
          <left style="thin">
            <color rgb="FF000000"/>
          </left>
          <top style="thin">
            <color rgb="FF000000"/>
          </top>
        </border>
      </dxf>
    </rfmt>
    <rfmt sheetId="24" sqref="E52" start="0" length="0">
      <dxf>
        <alignment horizontal="left" vertical="top" wrapText="1" readingOrder="0"/>
        <border outline="0">
          <left style="thin">
            <color rgb="FF000000"/>
          </left>
          <top style="thin">
            <color rgb="FF000000"/>
          </top>
        </border>
      </dxf>
    </rfmt>
    <rfmt sheetId="24" sqref="E53" start="0" length="0">
      <dxf>
        <alignment horizontal="left" vertical="top" wrapText="1" readingOrder="0"/>
        <border outline="0">
          <left style="thin">
            <color indexed="64"/>
          </left>
          <top style="thin">
            <color indexed="64"/>
          </top>
          <bottom style="thin">
            <color indexed="64"/>
          </bottom>
        </border>
      </dxf>
    </rfmt>
    <rfmt sheetId="24" sqref="E54" start="0" length="0">
      <dxf>
        <alignment horizontal="left" vertical="top" wrapText="1" readingOrder="0"/>
        <border outline="0">
          <left style="thin">
            <color indexed="64"/>
          </left>
          <top style="thin">
            <color indexed="64"/>
          </top>
          <bottom style="thin">
            <color indexed="64"/>
          </bottom>
        </border>
      </dxf>
    </rfmt>
  </rrc>
  <rfmt sheetId="24" sqref="A5:A54">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11.xml><?xml version="1.0" encoding="utf-8"?>
<revisions xmlns="http://schemas.openxmlformats.org/spreadsheetml/2006/main" xmlns:r="http://schemas.openxmlformats.org/officeDocument/2006/relationships">
  <rrc rId="6942" sId="25" ref="A3:XFD3" action="deleteRow">
    <rfmt sheetId="25" xfDxf="1" sqref="A3:XFD3" start="0" length="0"/>
    <rfmt sheetId="25" sqref="A3" start="0" length="0">
      <dxf>
        <alignment horizontal="left" vertical="top" wrapText="1" readingOrder="0"/>
      </dxf>
    </rfmt>
    <rfmt sheetId="25" sqref="B3" start="0" length="0">
      <dxf>
        <alignment horizontal="left" vertical="top" wrapText="1" readingOrder="0"/>
      </dxf>
    </rfmt>
    <rfmt sheetId="25" sqref="C3" start="0" length="0">
      <dxf>
        <alignment horizontal="left" vertical="top" wrapText="1" readingOrder="0"/>
      </dxf>
    </rfmt>
    <rfmt sheetId="25" sqref="D3" start="0" length="0">
      <dxf>
        <alignment horizontal="left" vertical="top" wrapText="1" readingOrder="0"/>
      </dxf>
    </rfmt>
    <rfmt sheetId="25" sqref="E3" start="0" length="0">
      <dxf>
        <alignment horizontal="left" vertical="top" wrapText="1" readingOrder="0"/>
        <border outline="0">
          <right style="thin">
            <color rgb="FF000000"/>
          </right>
        </border>
      </dxf>
    </rfmt>
    <rcc rId="0" sId="25" dxf="1" numFmtId="13">
      <nc r="F3">
        <v>0.1</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G3">
        <v>0.1</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H3">
        <v>0.1</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I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J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K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L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M3">
        <v>0.12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N3">
        <v>7.0000000000000007E-2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O3">
        <v>0.15</v>
      </nc>
      <ndxf>
        <font>
          <b/>
          <sz val="7"/>
          <color rgb="FF000000"/>
          <name val="Arial"/>
          <scheme val="none"/>
        </font>
        <numFmt numFmtId="13" formatCode="0%"/>
        <fill>
          <patternFill patternType="solid">
            <bgColor rgb="FFFFCC00"/>
          </patternFill>
        </fill>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0" sId="25" dxf="1" numFmtId="13">
      <nc r="P3">
        <v>0.15</v>
      </nc>
      <ndxf>
        <font>
          <b/>
          <sz val="7"/>
          <color rgb="FF000000"/>
          <name val="Arial"/>
          <scheme val="none"/>
        </font>
        <numFmt numFmtId="13" formatCode="0%"/>
        <fill>
          <patternFill patternType="solid">
            <bgColor rgb="FFFFCC00"/>
          </patternFill>
        </fill>
        <alignment horizontal="left" vertical="top" shrinkToFit="1" readingOrder="0"/>
        <border outline="0">
          <left style="thin">
            <color rgb="FF000000"/>
          </left>
          <right style="thin">
            <color rgb="FF000000"/>
          </right>
          <top style="thin">
            <color rgb="FF000000"/>
          </top>
          <bottom style="thin">
            <color rgb="FF000000"/>
          </bottom>
        </border>
      </ndxf>
    </rcc>
    <rcc rId="0" sId="25" dxf="1" numFmtId="13">
      <nc r="Q3">
        <v>0.12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R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S3">
        <v>0.12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c r="T3" t="inlineStr">
        <is>
          <r>
            <rPr>
              <b/>
              <sz val="7"/>
              <rFont val="Arial"/>
              <family val="2"/>
            </rPr>
            <t>по согласованию</t>
          </r>
        </is>
      </nc>
      <ndxf>
        <font>
          <b/>
          <sz val="7"/>
          <color auto="1"/>
          <name val="Arial"/>
          <scheme val="none"/>
        </font>
        <fill>
          <patternFill patternType="solid">
            <bgColor rgb="FFFFCC00"/>
          </patternFill>
        </fill>
        <alignment horizontal="left" vertical="top" wrapText="1" indent="5" relativeIndent="0" readingOrder="0"/>
        <border outline="0">
          <left style="thin">
            <color rgb="FF000000"/>
          </left>
          <top style="thin">
            <color rgb="FF000000"/>
          </top>
          <bottom style="thin">
            <color rgb="FF000000"/>
          </bottom>
        </border>
      </ndxf>
    </rcc>
    <rfmt sheetId="25" sqref="U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V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W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X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Y3" start="0" length="0">
      <dxf>
        <font>
          <b/>
          <sz val="7"/>
          <color auto="1"/>
          <name val="Arial"/>
          <scheme val="none"/>
        </font>
        <fill>
          <patternFill patternType="solid">
            <bgColor rgb="FFFFCC00"/>
          </patternFill>
        </fill>
        <alignment horizontal="left" vertical="top" wrapText="1" indent="5" relativeIndent="0" readingOrder="0"/>
        <border outline="0">
          <right style="thin">
            <color rgb="FF000000"/>
          </right>
          <top style="thin">
            <color rgb="FF000000"/>
          </top>
          <bottom style="thin">
            <color rgb="FF000000"/>
          </bottom>
        </border>
      </dxf>
    </rfmt>
  </rrc>
  <rfmt sheetId="25" sqref="D4" start="0" length="2147483647">
    <dxf>
      <font>
        <sz val="12"/>
      </font>
    </dxf>
  </rfmt>
  <rfmt sheetId="25" sqref="E4" start="0" length="2147483647">
    <dxf>
      <font>
        <sz val="12"/>
      </font>
    </dxf>
  </rfmt>
  <rfmt sheetId="25" sqref="C4" start="0" length="2147483647">
    <dxf>
      <font>
        <sz val="12"/>
      </font>
    </dxf>
  </rfmt>
  <rfmt sheetId="25" sqref="A4" start="0" length="2147483647">
    <dxf>
      <font>
        <sz val="9"/>
      </font>
    </dxf>
  </rfmt>
  <rfmt sheetId="25" sqref="A4" start="0" length="2147483647">
    <dxf>
      <font>
        <sz val="12"/>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snm rId="6979" sheetId="24" oldName="[ПРАЙС ЦЕНТР-ТИМ 2019 обновленный.xlsx]Лист1" newName="[ПРАЙС ЦЕНТР-ТИМ 2019 обновленный.xlsx]Водосток 0,45 (по Складской)"/>
  <rsnm rId="6980" sheetId="25" oldName="[ПРАЙС ЦЕНТР-ТИМ 2019 обновленный.xlsx]Лист2" newName="[ПРАЙС ЦЕНТР-ТИМ 2019 обновленный.xlsx]МеталлоЧерепица,Сайдинг,Профлис"/>
</revisions>
</file>

<file path=xl/revisions/revisionLog19.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xml><?xml version="1.0" encoding="utf-8"?>
<revisions xmlns="http://schemas.openxmlformats.org/spreadsheetml/2006/main" xmlns:r="http://schemas.openxmlformats.org/officeDocument/2006/relationships">
  <ris rId="8487" sheetId="31" name="[ПРАЙС ЦЕНТР-ТИМ 2019 обновленный.xlsx]Лист6" sheetPosition="30"/>
  <rcc rId="8488" sId="31" odxf="1" dxf="1">
    <nc r="A11" t="inlineStr">
      <is>
        <t>Коллекции Сайдинга</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11"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489" sId="31" odxf="1" dxf="1">
    <nc r="C11" t="inlineStr">
      <is>
        <t>Рисунок</t>
      </is>
    </nc>
    <odxf>
      <font>
        <b val="0"/>
        <sz val="11"/>
        <color theme="1"/>
        <name val="Calibri"/>
        <scheme val="minor"/>
      </font>
      <fill>
        <patternFill patternType="none">
          <bgColor indexed="65"/>
        </patternFill>
      </fill>
      <alignment horizontal="general" vertical="bottom" wrapText="0" readingOrder="0"/>
      <border outline="0">
        <left/>
        <right/>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rder>
    </ndxf>
  </rcc>
  <rcc rId="8490" sId="31" odxf="1" dxf="1">
    <nc r="D11" t="inlineStr">
      <is>
        <t>Ширина</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cc rId="8491" sId="31" odxf="1" dxf="1">
    <nc r="E11" t="inlineStr">
      <is>
        <t>Длина</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cc rId="8492" sId="31" odxf="1" dxf="1">
    <nc r="F11"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rder>
    </ndxf>
  </rcc>
  <rcc rId="8493" sId="31" odxf="1" dxf="1">
    <nc r="G11" t="inlineStr">
      <is>
        <t>цвет</t>
      </is>
    </nc>
    <odxf>
      <font>
        <b val="0"/>
        <sz val="11"/>
        <color theme="1"/>
        <name val="Calibri"/>
        <scheme val="minor"/>
      </font>
      <fill>
        <patternFill patternType="none">
          <bgColor indexed="65"/>
        </patternFill>
      </fill>
      <alignment horizontal="general" vertical="bottom" readingOrder="0"/>
      <border outline="0">
        <left/>
        <right/>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rder>
    </ndxf>
  </rcc>
  <rcc rId="8494" sId="31" odxf="1" dxf="1">
    <nc r="H11"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11"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5" sId="31" odxf="1" dxf="1">
    <nc r="J11"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6" sId="31" odxf="1" dxf="1">
    <nc r="L11"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7" sId="31" odxf="1" dxf="1">
    <nc r="N11"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8" sId="31" odxf="1" dxf="1">
    <nc r="P11"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12"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12"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12"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cc rId="8499" sId="31" odxf="1" dxf="1">
    <nc r="D12" t="inlineStr">
      <is>
        <t>м</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cc rId="8500" sId="31" odxf="1" dxf="1">
    <nc r="E12" t="inlineStr">
      <is>
        <t>м</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fmt sheetId="31" sqref="F12"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12"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501" sId="31" odxf="1" dxf="1">
    <nc r="H12"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2" sId="31" odxf="1" dxf="1">
    <nc r="I12"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3" sId="31" odxf="1" dxf="1">
    <nc r="J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4" sId="31" odxf="1" dxf="1">
    <nc r="K12"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05" sId="31" odxf="1" dxf="1">
    <nc r="L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6" sId="31" odxf="1" dxf="1">
    <nc r="M12"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07" sId="31" odxf="1" dxf="1">
    <nc r="N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8" sId="31" odxf="1" dxf="1">
    <nc r="O12" t="inlineStr">
      <is>
        <t>м 2</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9" sId="31" odxf="1" dxf="1">
    <nc r="P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10" sId="31" odxf="1" dxf="1">
    <nc r="Q12"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11" sId="31" odxf="1" dxf="1">
    <nc r="A13" t="inlineStr">
      <is>
        <t xml:space="preserve">Сайдинг 3,6 GL Amerika D4,4 </t>
      </is>
    </nc>
    <odxf>
      <font>
        <b val="0"/>
        <sz val="11"/>
        <color theme="1"/>
        <name val="Calibri"/>
        <scheme val="minor"/>
      </font>
      <alignment horizontal="general" vertical="bottom" wrapText="0" readingOrder="0"/>
      <border outline="0">
        <left/>
      </border>
    </odxf>
    <ndxf>
      <font>
        <b/>
        <sz val="12"/>
        <color indexed="8"/>
        <name val="Arial"/>
        <scheme val="none"/>
      </font>
      <alignment horizontal="center" vertical="center" wrapText="1" readingOrder="0"/>
      <border outline="0">
        <left style="thin">
          <color indexed="64"/>
        </left>
      </border>
    </ndxf>
  </rcc>
  <rfmt sheetId="31" sqref="B13" start="0" length="0">
    <dxf>
      <font>
        <b/>
        <sz val="12"/>
        <color indexed="8"/>
        <name val="Arial"/>
        <scheme val="none"/>
      </font>
      <alignment horizontal="center" vertical="center" wrapText="1" readingOrder="0"/>
      <border outline="0">
        <right style="thin">
          <color indexed="64"/>
        </right>
      </border>
    </dxf>
  </rfmt>
  <rfmt sheetId="31" sqref="C13"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8512" sId="31" odxf="1" dxf="1" numFmtId="4">
    <nc r="D13">
      <v>0.224</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513" sId="31" odxf="1" dxf="1" numFmtId="4">
    <nc r="E13">
      <v>3.6</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514" sId="31" odxf="1" dxf="1" numFmtId="4">
    <nc r="F13">
      <v>22</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15" sId="31" odxf="1" dxf="1">
    <nc r="G13" t="inlineStr">
      <is>
        <r>
          <t xml:space="preserve">бежевый, ванильный, персиковый, салатовый, серый, белый, кремовый, голубой, Золотой песок, </t>
        </r>
        <r>
          <rPr>
            <b/>
            <sz val="8"/>
            <color indexed="10"/>
            <rFont val="Arial"/>
            <family val="2"/>
            <charset val="204"/>
          </rPr>
          <t>Слоновая кость</t>
        </r>
      </is>
    </nc>
    <odxf>
      <font>
        <sz val="11"/>
        <color theme="1"/>
        <name val="Calibri"/>
        <scheme val="minor"/>
      </font>
      <numFmt numFmtId="0" formatCode="General"/>
      <alignment horizontal="general" vertical="bottom" wrapText="0" readingOrder="0"/>
      <border outline="0">
        <left/>
        <right/>
        <top/>
        <bottom/>
      </border>
    </odxf>
    <ndxf>
      <font>
        <sz val="8"/>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3"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13"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16" sId="31" odxf="1" dxf="1" numFmtId="4">
    <nc r="J13">
      <v>139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17" sId="31" odxf="1" dxf="1" numFmtId="4">
    <nc r="K13">
      <v>171</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18" sId="31" odxf="1" dxf="1" numFmtId="4">
    <nc r="L13">
      <v>194</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19" sId="31" odxf="1" dxf="1" numFmtId="4">
    <nc r="M13">
      <v>239.50617283950615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20" sId="31" odxf="1" dxf="1" numFmtId="4">
    <nc r="N13">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21" sId="31" odxf="1" dxf="1" numFmtId="4">
    <nc r="O13">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22" sId="31" odxf="1" dxf="1">
    <nc r="P13">
      <v>202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23" sId="31" odxf="1" dxf="1" numFmtId="4">
    <nc r="Q13">
      <v>249.38271604938271</v>
    </nc>
    <odxf>
      <font>
        <sz val="11"/>
        <color theme="1"/>
        <name val="Calibri"/>
        <scheme val="minor"/>
      </font>
      <numFmt numFmtId="0" formatCode="General"/>
      <alignment horizontal="general" vertical="bottom" wrapText="0" readingOrder="0"/>
      <border outline="0">
        <right/>
        <top/>
        <bottom/>
      </border>
      <protection locked="1"/>
    </odxf>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fmt sheetId="31" sqref="A14" start="0" length="0">
    <dxf>
      <font>
        <b/>
        <sz val="12"/>
        <color indexed="8"/>
        <name val="Arial"/>
        <scheme val="none"/>
      </font>
      <alignment horizontal="center" vertical="center" wrapText="1" readingOrder="0"/>
      <border outline="0">
        <left style="thin">
          <color indexed="64"/>
        </left>
      </border>
    </dxf>
  </rfmt>
  <rfmt sheetId="31" sqref="B14" start="0" length="0">
    <dxf>
      <font>
        <b/>
        <sz val="12"/>
        <color indexed="8"/>
        <name val="Arial"/>
        <scheme val="none"/>
      </font>
      <alignment horizontal="center" vertical="center" wrapText="1" readingOrder="0"/>
      <border outline="0">
        <right style="thin">
          <color indexed="64"/>
        </right>
      </border>
    </dxf>
  </rfmt>
  <rfmt sheetId="31" sqref="C14"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1" sqref="D14" start="0" length="0">
    <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dxf>
  </rfmt>
  <rfmt sheetId="31" sqref="E14" start="0" length="0">
    <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dxf>
  </rfmt>
  <rfmt sheetId="31" sqref="F14" start="0" length="0">
    <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dxf>
  </rfmt>
  <rcc rId="8524" sId="31" odxf="1" dxf="1">
    <nc r="G14" t="inlineStr">
      <is>
        <t>Карамельный**,  Темно-бежевый**</t>
      </is>
    </nc>
    <odxf>
      <font>
        <sz val="11"/>
        <color theme="1"/>
        <name val="Calibri"/>
        <scheme val="minor"/>
      </font>
      <numFmt numFmtId="0" formatCode="General"/>
      <alignment horizontal="general" vertical="bottom" wrapText="0" readingOrder="0"/>
      <border outline="0">
        <left/>
        <right/>
        <top/>
        <bottom/>
      </border>
    </odxf>
    <ndxf>
      <font>
        <sz val="8"/>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4"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14"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25" sId="31" odxf="1" dxf="1" numFmtId="4">
    <nc r="J14">
      <v>152.9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26" sId="31" odxf="1" dxf="1" numFmtId="4">
    <nc r="K14">
      <v>189.60813492063494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27" sId="31" odxf="1" dxf="1" numFmtId="4">
    <nc r="L14">
      <v>232</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28" sId="31" odxf="1" dxf="1" numFmtId="4">
    <nc r="M14">
      <v>286.41975308641975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29" sId="31" odxf="1" dxf="1" numFmtId="4">
    <nc r="N14">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30" sId="31" odxf="1" dxf="1" numFmtId="4">
    <nc r="O14">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31" sId="31" odxf="1" dxf="1">
    <nc r="P14">
      <v>243</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32" sId="31" odxf="1" dxf="1" numFmtId="4">
    <nc r="Q14">
      <v>300</v>
    </nc>
    <odxf>
      <font>
        <sz val="11"/>
        <color theme="1"/>
        <name val="Calibri"/>
        <scheme val="minor"/>
      </font>
      <numFmt numFmtId="0" formatCode="General"/>
      <alignment horizontal="general" vertical="bottom" wrapText="0" readingOrder="0"/>
      <border outline="0">
        <right/>
        <top/>
        <bottom/>
      </border>
      <protection locked="1"/>
    </odxf>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fmt sheetId="31" sqref="A15" start="0" length="0">
    <dxf>
      <font>
        <b/>
        <sz val="12"/>
        <color indexed="8"/>
        <name val="Arial"/>
        <scheme val="none"/>
      </font>
      <alignment vertical="center" wrapText="1" readingOrder="0"/>
      <border outline="0">
        <left style="thin">
          <color indexed="64"/>
        </left>
        <bottom style="thin">
          <color indexed="64"/>
        </bottom>
      </border>
    </dxf>
  </rfmt>
  <rfmt sheetId="31" sqref="B15" start="0" length="0">
    <dxf>
      <font>
        <b/>
        <sz val="12"/>
        <color indexed="8"/>
        <name val="Arial"/>
        <scheme val="none"/>
      </font>
      <alignment vertical="center" wrapText="1" readingOrder="0"/>
      <border outline="0">
        <right style="thin">
          <color indexed="64"/>
        </right>
        <bottom style="thin">
          <color indexed="64"/>
        </bottom>
      </border>
    </dxf>
  </rfmt>
  <rfmt sheetId="31" sqref="C15"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1" sqref="D15" start="0" length="0">
    <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dxf>
  </rfmt>
  <rfmt sheetId="31" sqref="E15" start="0" length="0">
    <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dxf>
  </rfmt>
  <rfmt sheetId="31" sqref="F15" start="0" length="0">
    <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dxf>
  </rfmt>
  <rcc rId="8533" sId="31" odxf="1" dxf="1">
    <nc r="G15" t="inlineStr">
      <is>
        <t>мореный дуб</t>
      </is>
    </nc>
    <odxf>
      <font>
        <sz val="11"/>
        <color theme="1"/>
        <name val="Calibri"/>
        <scheme val="minor"/>
      </font>
      <numFmt numFmtId="0" formatCode="General"/>
      <alignment horizontal="general" vertical="bottom" wrapText="0" readingOrder="0"/>
      <border outline="0">
        <left/>
        <right/>
        <top/>
        <bottom/>
      </border>
    </odxf>
    <ndxf>
      <font>
        <sz val="8"/>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5"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15"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34" sId="31" odxf="1" dxf="1" numFmtId="4">
    <nc r="J15">
      <v>211</v>
    </nc>
    <odxf>
      <font>
        <sz val="11"/>
        <color theme="1"/>
        <name val="Calibri"/>
        <scheme val="minor"/>
      </font>
      <numFmt numFmtId="0" formatCode="General"/>
      <alignment horizontal="general" vertical="bottom" wrapText="0" readingOrder="0"/>
      <border outline="0">
        <left/>
        <right/>
        <top/>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8535" sId="31" odxf="1" dxf="1" numFmtId="4">
    <nc r="K15">
      <v>261.65674603174602</v>
    </nc>
    <odxf>
      <font>
        <sz val="11"/>
        <color theme="1"/>
        <name val="Calibri"/>
        <scheme val="minor"/>
      </font>
      <numFmt numFmtId="0" formatCode="General"/>
      <alignment horizontal="general" vertical="bottom" wrapText="0" readingOrder="0"/>
      <border outline="0">
        <left/>
        <right/>
        <top/>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8536" sId="31" odxf="1" dxf="1" numFmtId="4">
    <nc r="L15">
      <v>262</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medium">
          <color indexed="64"/>
        </bottom>
      </border>
    </ndxf>
  </rcc>
  <rcc rId="8537" sId="31" odxf="1" dxf="1" numFmtId="4">
    <nc r="M15">
      <v>323.45679012345676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38" sId="31" odxf="1" dxf="1" numFmtId="4">
    <nc r="N15">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39" sId="31" odxf="1" dxf="1">
    <nc r="O15" t="e">
      <v>#DIV/0!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40" sId="31" odxf="1" dxf="1">
    <nc r="P15">
      <v>272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41" sId="31" odxf="1" dxf="1">
    <nc r="A16" t="inlineStr">
      <is>
        <t>Сайдинг 3,0 GL Amerika D4 (slim)</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16" start="0" length="0">
    <dxf>
      <border outline="0">
        <left style="thin">
          <color indexed="64"/>
        </left>
        <right style="thin">
          <color indexed="64"/>
        </right>
        <top style="thin">
          <color indexed="64"/>
        </top>
        <bottom style="thin">
          <color indexed="64"/>
        </bottom>
      </border>
    </dxf>
  </rfmt>
  <rfmt sheetId="31" sqref="C16"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8542" sId="31" odxf="1" dxf="1" numFmtId="4">
    <nc r="D16">
      <v>0.20300000000000001</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543" sId="31" odxf="1" dxf="1" numFmtId="4">
    <nc r="E16">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544" sId="31" odxf="1" dxf="1" numFmtId="4">
    <nc r="F16">
      <v>22</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45" sId="31" odxf="1" dxf="1">
    <nc r="G16" t="inlineStr">
      <is>
        <r>
          <t>бежевый, ванильный, персиковый, салатовый, белый, кремовый, Золотой песок</t>
        </r>
        <r>
          <rPr>
            <b/>
            <sz val="8"/>
            <color indexed="10"/>
            <rFont val="Arial"/>
            <family val="2"/>
            <charset val="204"/>
          </rPr>
          <t>,Слоновая кость</t>
        </r>
      </is>
    </nc>
    <odxf>
      <font>
        <sz val="11"/>
        <color theme="1"/>
        <name val="Calibri"/>
        <scheme val="minor"/>
      </font>
      <numFmt numFmtId="0" formatCode="General"/>
      <alignment horizontal="general" vertical="bottom" wrapText="0" readingOrder="0"/>
      <border outline="0">
        <left/>
        <right/>
        <top/>
        <bottom/>
      </border>
    </odxf>
    <ndxf>
      <font>
        <sz val="8"/>
        <color indexed="8"/>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6" start="0" length="0">
    <dxf>
      <font>
        <b/>
        <sz val="13"/>
        <color indexed="8"/>
        <name val="Arial"/>
        <scheme val="none"/>
      </font>
      <numFmt numFmtId="2" formatCode="0.00"/>
      <alignment horizontal="center" vertical="center" wrapText="1" readingOrder="0"/>
      <border outline="0">
        <left style="thin">
          <color indexed="64"/>
        </left>
        <right style="thin">
          <color indexed="64"/>
        </right>
        <bottom style="thin">
          <color indexed="64"/>
        </bottom>
      </border>
      <protection locked="0"/>
    </dxf>
  </rfmt>
  <rfmt sheetId="31" sqref="I16"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46" sId="31" odxf="1" dxf="1" numFmtId="4">
    <nc r="J16">
      <v>99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8547" sId="31" odxf="1" dxf="1" numFmtId="4">
    <nc r="K16">
      <v>162.56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8548" sId="31" odxf="1" s="1" dxf="1" numFmtId="4">
    <nc r="L16">
      <v>147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bottom style="thin">
          <color indexed="64"/>
        </bottom>
      </border>
    </ndxf>
  </rcc>
  <rcc rId="8549" sId="31" odxf="1" s="1" dxf="1" numFmtId="4">
    <nc r="M16">
      <v>240.98360655737704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50" sId="31" odxf="1" dxf="1" numFmtId="4">
    <nc r="N16">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51" sId="31" odxf="1" dxf="1" numFmtId="4">
    <nc r="O16">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52" sId="31" odxf="1" dxf="1">
    <nc r="P16">
      <v>152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53" sId="31" odxf="1" s="1" dxf="1" numFmtId="4">
    <nc r="Q16">
      <v>249.18032786885246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fmt sheetId="31" sqref="A17" start="0" length="0">
    <dxf>
      <border outline="0">
        <left style="thin">
          <color indexed="64"/>
        </left>
        <right style="thin">
          <color indexed="64"/>
        </right>
        <top style="thin">
          <color indexed="64"/>
        </top>
        <bottom style="thin">
          <color indexed="64"/>
        </bottom>
      </border>
    </dxf>
  </rfmt>
  <rfmt sheetId="31" sqref="B17" start="0" length="0">
    <dxf>
      <border outline="0">
        <left style="thin">
          <color indexed="64"/>
        </left>
        <right style="thin">
          <color indexed="64"/>
        </right>
        <top style="thin">
          <color indexed="64"/>
        </top>
        <bottom style="thin">
          <color indexed="64"/>
        </bottom>
      </border>
    </dxf>
  </rfmt>
  <rfmt sheetId="31" sqref="C17"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1" sqref="D17" start="0" length="0">
    <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dxf>
  </rfmt>
  <rfmt sheetId="31" sqref="E17" start="0" length="0">
    <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dxf>
  </rfmt>
  <rfmt sheetId="31" sqref="F17" start="0" length="0">
    <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dxf>
  </rfmt>
  <rcc rId="8554" sId="31" odxf="1" dxf="1">
    <nc r="G17" t="inlineStr">
      <is>
        <t>карамельный, темно-бежевый</t>
      </is>
    </nc>
    <odxf>
      <font>
        <sz val="11"/>
        <color theme="1"/>
        <name val="Calibri"/>
        <scheme val="minor"/>
      </font>
      <numFmt numFmtId="0" formatCode="General"/>
      <alignment horizontal="general" vertical="bottom" wrapText="0" readingOrder="0"/>
      <border outline="0">
        <left/>
        <right/>
        <top/>
        <bottom/>
      </border>
    </odxf>
    <ndxf>
      <font>
        <sz val="8"/>
        <color indexed="8"/>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7" start="0" length="0">
    <dxf>
      <font>
        <b/>
        <sz val="13"/>
        <color indexed="8"/>
        <name val="Arial"/>
        <scheme val="none"/>
      </font>
      <numFmt numFmtId="2" formatCode="0.00"/>
      <alignment horizontal="center" vertical="center" wrapText="1" readingOrder="0"/>
      <border outline="0">
        <left style="thin">
          <color indexed="64"/>
        </left>
        <right style="thin">
          <color indexed="64"/>
        </right>
        <bottom style="thin">
          <color indexed="64"/>
        </bottom>
      </border>
      <protection locked="0"/>
    </dxf>
  </rfmt>
  <rfmt sheetId="31" sqref="I17"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55" sId="31" odxf="1" dxf="1" numFmtId="4">
    <nc r="J17">
      <v>99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56" sId="31" odxf="1" dxf="1" numFmtId="4">
    <nc r="K17">
      <v>162.56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57" sId="31" odxf="1" s="1" dxf="1" numFmtId="4">
    <nc r="L17">
      <v>176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558" sId="31" odxf="1" s="1" dxf="1" numFmtId="4">
    <nc r="M17">
      <v>288.52459016393442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59" sId="31" odxf="1" dxf="1" numFmtId="4">
    <nc r="N17">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60" sId="31" odxf="1" dxf="1" numFmtId="4">
    <nc r="O17">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61" sId="31" odxf="1" dxf="1">
    <nc r="P17">
      <v>182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62" sId="31" odxf="1" s="1" dxf="1" numFmtId="4">
    <nc r="Q17">
      <v>298.36065573770492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cc rId="8563" sId="31" odxf="1" dxf="1">
    <nc r="A18" t="inlineStr">
      <is>
        <t>Блок-хаус</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18"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564" sId="31" odxf="1" dxf="1">
    <nc r="C18" t="inlineStr">
      <is>
        <t>Рисунок</t>
      </is>
    </nc>
    <odxf>
      <font>
        <b val="0"/>
        <sz val="11"/>
        <color theme="1"/>
        <name val="Calibri"/>
        <scheme val="minor"/>
      </font>
      <fill>
        <patternFill patternType="none">
          <bgColor indexed="65"/>
        </patternFill>
      </fill>
      <alignment horizontal="general" vertical="bottom" wrapText="0" readingOrder="0"/>
      <border outline="0">
        <left/>
        <right/>
        <top/>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rder>
    </ndxf>
  </rcc>
  <rcc rId="8565" sId="31" odxf="1" dxf="1">
    <nc r="D18" t="inlineStr">
      <is>
        <t>Ширина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566" sId="31" odxf="1" dxf="1">
    <nc r="E18"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567" sId="31" odxf="1" dxf="1">
    <nc r="F18"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568" sId="31" odxf="1" dxf="1">
    <nc r="G18"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569" sId="31" odxf="1" dxf="1">
    <nc r="H18"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18"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0" sId="31" odxf="1" dxf="1">
    <nc r="J18"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1" sId="31" odxf="1" dxf="1">
    <nc r="L18"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2" sId="31" odxf="1" dxf="1">
    <nc r="N18"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3" sId="31" odxf="1" dxf="1">
    <nc r="P18"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19"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19"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19"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fmt sheetId="31" sqref="D19" start="0" length="0">
    <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E19" start="0" length="0">
    <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19" start="0" length="0">
    <dxf>
      <font>
        <b/>
        <sz val="9"/>
        <color indexed="8"/>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19" start="0" length="0">
    <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574" sId="31" odxf="1" dxf="1">
    <nc r="H19"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5" sId="31" odxf="1" dxf="1">
    <nc r="I19"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6" sId="31" odxf="1" dxf="1">
    <nc r="J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7" sId="31" odxf="1" dxf="1">
    <nc r="K19"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78" sId="31" odxf="1" dxf="1">
    <nc r="L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9" sId="31" odxf="1" dxf="1">
    <nc r="M19"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80" sId="31" odxf="1" dxf="1">
    <nc r="N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81" sId="31" odxf="1" dxf="1">
    <nc r="O19" t="inlineStr">
      <is>
        <t>м 2</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82" sId="31" odxf="1" dxf="1">
    <nc r="P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83" sId="31" odxf="1" dxf="1">
    <nc r="Q19"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84" sId="31" odxf="1" dxf="1">
    <nc r="A20" t="inlineStr">
      <is>
        <t>Блок-хаус 3,0 GL Amerika D4,8</t>
      </is>
    </nc>
    <odxf>
      <font>
        <b val="0"/>
        <sz val="11"/>
        <color theme="1"/>
        <name val="Calibri"/>
        <scheme val="minor"/>
      </font>
      <alignment horizontal="general" vertical="bottom" wrapText="0" readingOrder="0"/>
      <border outline="0">
        <left/>
        <top/>
      </border>
    </odxf>
    <ndxf>
      <font>
        <b/>
        <sz val="12"/>
        <color indexed="8"/>
        <name val="Arial"/>
        <scheme val="none"/>
      </font>
      <alignment horizontal="center" vertical="center" wrapText="1" readingOrder="0"/>
      <border outline="0">
        <left style="thin">
          <color indexed="64"/>
        </left>
        <top style="thin">
          <color indexed="64"/>
        </top>
      </border>
    </ndxf>
  </rcc>
  <rfmt sheetId="31" sqref="B20" start="0" length="0">
    <dxf>
      <font>
        <b/>
        <sz val="12"/>
        <color indexed="8"/>
        <name val="Arial"/>
        <scheme val="none"/>
      </font>
      <alignment horizontal="center" vertical="center" wrapText="1" readingOrder="0"/>
      <border outline="0">
        <right style="thin">
          <color indexed="64"/>
        </right>
        <top style="thin">
          <color indexed="64"/>
        </top>
      </border>
    </dxf>
  </rfmt>
  <rfmt sheetId="31" sqref="C20" start="0" length="0">
    <dxf>
      <font>
        <sz val="8"/>
        <color auto="1"/>
        <name val="Arial"/>
        <scheme val="none"/>
      </font>
      <alignment horizontal="center" vertical="center" wrapText="1" readingOrder="0"/>
      <border outline="0">
        <left style="thin">
          <color indexed="64"/>
        </left>
        <right style="thin">
          <color indexed="64"/>
        </right>
        <top style="thin">
          <color indexed="64"/>
        </top>
      </border>
    </dxf>
  </rfmt>
  <rcc rId="8585" sId="31" odxf="1" dxf="1" numFmtId="4">
    <nc r="D20">
      <v>0.24399999999999999</v>
    </nc>
    <odxf>
      <font>
        <sz val="11"/>
        <color theme="1"/>
        <name val="Calibri"/>
        <scheme val="minor"/>
      </font>
      <numFmt numFmtId="0" formatCode="General"/>
      <alignment horizontal="general" vertical="bottom" readingOrder="0"/>
      <border outline="0">
        <left/>
        <right/>
        <top/>
      </border>
    </odxf>
    <ndxf>
      <font>
        <sz val="12"/>
        <color indexed="8"/>
        <name val="Arial"/>
        <scheme val="none"/>
      </font>
      <numFmt numFmtId="166" formatCode="0.000"/>
      <alignment horizontal="center" vertical="center" readingOrder="0"/>
      <border outline="0">
        <left style="thin">
          <color indexed="64"/>
        </left>
        <right style="thin">
          <color indexed="64"/>
        </right>
        <top style="thin">
          <color indexed="64"/>
        </top>
      </border>
    </ndxf>
  </rcc>
  <rcc rId="8586" sId="31" odxf="1" dxf="1" numFmtId="4">
    <nc r="E20">
      <v>3</v>
    </nc>
    <odxf>
      <font>
        <sz val="11"/>
        <color theme="1"/>
        <name val="Calibri"/>
        <scheme val="minor"/>
      </font>
      <numFmt numFmtId="0" formatCode="General"/>
      <alignment horizontal="general" vertical="bottom" readingOrder="0"/>
      <border outline="0">
        <left/>
        <right/>
        <top/>
      </border>
    </odxf>
    <ndxf>
      <font>
        <sz val="12"/>
        <color indexed="8"/>
        <name val="Arial"/>
        <scheme val="none"/>
      </font>
      <numFmt numFmtId="2" formatCode="0.00"/>
      <alignment horizontal="center" vertical="center" readingOrder="0"/>
      <border outline="0">
        <left style="thin">
          <color indexed="64"/>
        </left>
        <right style="thin">
          <color indexed="64"/>
        </right>
        <top style="thin">
          <color indexed="64"/>
        </top>
      </border>
    </ndxf>
  </rcc>
  <rcc rId="8587" sId="31" odxf="1" dxf="1" numFmtId="4">
    <nc r="F20">
      <v>22</v>
    </nc>
    <odxf>
      <font>
        <sz val="11"/>
        <color theme="1"/>
        <name val="Calibri"/>
        <scheme val="minor"/>
      </font>
      <numFmt numFmtId="0" formatCode="General"/>
      <alignment horizontal="general" vertical="bottom" readingOrder="0"/>
      <border outline="0">
        <left/>
        <right/>
        <top/>
      </border>
    </odxf>
    <ndxf>
      <font>
        <sz val="12"/>
        <color indexed="8"/>
        <name val="Arial"/>
        <scheme val="none"/>
      </font>
      <numFmt numFmtId="1" formatCode="0"/>
      <alignment horizontal="center" vertical="center" readingOrder="0"/>
      <border outline="0">
        <left style="thin">
          <color indexed="64"/>
        </left>
        <right style="thin">
          <color indexed="64"/>
        </right>
        <top style="thin">
          <color indexed="64"/>
        </top>
      </border>
    </ndxf>
  </rcc>
  <rcc rId="8588" sId="31" odxf="1" dxf="1">
    <nc r="G20" t="inlineStr">
      <is>
        <r>
          <t xml:space="preserve">ваниль, бежевый, </t>
        </r>
        <r>
          <rPr>
            <sz val="10"/>
            <color indexed="10"/>
            <rFont val="Arial"/>
            <family val="2"/>
            <charset val="204"/>
          </rPr>
          <t>слоновая кость</t>
        </r>
      </is>
    </nc>
    <odxf>
      <font>
        <sz val="11"/>
        <color theme="1"/>
        <name val="Calibri"/>
        <scheme val="minor"/>
      </font>
      <numFmt numFmtId="0" formatCode="General"/>
      <alignment horizontal="general" vertical="bottom" wrapText="0" readingOrder="0"/>
      <border outline="0">
        <left/>
        <top/>
        <bottom/>
      </border>
    </odxf>
    <ndxf>
      <font>
        <sz val="10"/>
        <color indexed="8"/>
        <name val="Arial"/>
        <scheme val="none"/>
      </font>
      <numFmt numFmtId="1" formatCode="0"/>
      <alignment horizontal="center" vertical="center" wrapText="1" readingOrder="0"/>
      <border outline="0">
        <left style="thin">
          <color indexed="64"/>
        </left>
        <top style="thin">
          <color indexed="64"/>
        </top>
        <bottom style="thin">
          <color indexed="64"/>
        </bottom>
      </border>
    </ndxf>
  </rcc>
  <rfmt sheetId="31" sqref="H20"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0"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89" sId="31" odxf="1" dxf="1" numFmtId="4">
    <nc r="J20">
      <v>154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90" sId="31" odxf="1" dxf="1" numFmtId="4">
    <nc r="K20">
      <v>210.38251366120218</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91" sId="31" odxf="1" dxf="1" numFmtId="4">
    <nc r="L20">
      <v>213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2" sId="31" odxf="1" dxf="1" numFmtId="4">
    <nc r="M20">
      <v>291.78082191780823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3" sId="31" odxf="1" dxf="1" numFmtId="4">
    <nc r="N20">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4" sId="31" odxf="1" dxf="1" numFmtId="4">
    <nc r="O20">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5" sId="31" odxf="1" dxf="1">
    <nc r="P20">
      <v>218</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96" sId="31" odxf="1" dxf="1" numFmtId="4">
    <nc r="Q20">
      <v>298.63013698630135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A21" start="0" length="0">
    <dxf>
      <font>
        <b/>
        <sz val="12"/>
        <color indexed="8"/>
        <name val="Arial"/>
        <scheme val="none"/>
      </font>
      <alignment horizontal="center" vertical="center" wrapText="1" readingOrder="0"/>
      <border outline="0">
        <left style="thin">
          <color indexed="64"/>
        </left>
      </border>
    </dxf>
  </rfmt>
  <rfmt sheetId="31" sqref="B21" start="0" length="0">
    <dxf>
      <font>
        <b/>
        <sz val="12"/>
        <color indexed="8"/>
        <name val="Arial"/>
        <scheme val="none"/>
      </font>
      <alignment horizontal="center" vertical="center" wrapText="1" readingOrder="0"/>
      <border outline="0">
        <right style="thin">
          <color indexed="64"/>
        </right>
      </border>
    </dxf>
  </rfmt>
  <rfmt sheetId="31" sqref="C21" start="0" length="0">
    <dxf>
      <font>
        <sz val="8"/>
        <color auto="1"/>
        <name val="Arial"/>
        <scheme val="none"/>
      </font>
      <alignment horizontal="center" vertical="center" wrapText="1" readingOrder="0"/>
      <border outline="0">
        <left style="thin">
          <color indexed="64"/>
        </left>
        <right style="thin">
          <color indexed="64"/>
        </right>
      </border>
    </dxf>
  </rfmt>
  <rfmt sheetId="31" sqref="D21" start="0" length="0">
    <dxf>
      <font>
        <sz val="12"/>
        <color indexed="8"/>
        <name val="Arial"/>
        <scheme val="none"/>
      </font>
      <numFmt numFmtId="166" formatCode="0.000"/>
      <alignment horizontal="center" vertical="center" readingOrder="0"/>
      <border outline="0">
        <left style="thin">
          <color indexed="64"/>
        </left>
        <right style="thin">
          <color indexed="64"/>
        </right>
      </border>
    </dxf>
  </rfmt>
  <rfmt sheetId="31" sqref="E21" start="0" length="0">
    <dxf>
      <font>
        <sz val="12"/>
        <color indexed="8"/>
        <name val="Arial"/>
        <scheme val="none"/>
      </font>
      <numFmt numFmtId="2" formatCode="0.00"/>
      <alignment horizontal="center" vertical="center" readingOrder="0"/>
      <border outline="0">
        <left style="thin">
          <color indexed="64"/>
        </left>
        <right style="thin">
          <color indexed="64"/>
        </right>
      </border>
    </dxf>
  </rfmt>
  <rfmt sheetId="31" sqref="F21" start="0" length="0">
    <dxf>
      <font>
        <sz val="12"/>
        <color indexed="8"/>
        <name val="Arial"/>
        <scheme val="none"/>
      </font>
      <numFmt numFmtId="1" formatCode="0"/>
      <alignment horizontal="center" vertical="center" readingOrder="0"/>
      <border outline="0">
        <left style="thin">
          <color indexed="64"/>
        </left>
        <right style="thin">
          <color indexed="64"/>
        </right>
      </border>
    </dxf>
  </rfmt>
  <rcc rId="8597" sId="31" odxf="1" dxf="1">
    <nc r="G21" t="inlineStr">
      <is>
        <t>карамельный, темно-бежевый</t>
      </is>
    </nc>
    <odxf>
      <font>
        <sz val="11"/>
        <color theme="1"/>
        <name val="Calibri"/>
        <scheme val="minor"/>
      </font>
      <numFmt numFmtId="0" formatCode="General"/>
      <alignment horizontal="general" vertical="bottom" wrapText="0" readingOrder="0"/>
      <border outline="0">
        <left/>
        <top/>
        <bottom/>
      </border>
    </odxf>
    <ndxf>
      <font>
        <sz val="10"/>
        <color indexed="8"/>
        <name val="Arial"/>
        <scheme val="none"/>
      </font>
      <numFmt numFmtId="1" formatCode="0"/>
      <alignment horizontal="center" vertical="center" wrapText="1" readingOrder="0"/>
      <border outline="0">
        <left style="thin">
          <color indexed="64"/>
        </left>
        <top style="thin">
          <color indexed="64"/>
        </top>
        <bottom style="thin">
          <color indexed="64"/>
        </bottom>
      </border>
    </ndxf>
  </rcc>
  <rfmt sheetId="31" sqref="H21"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1"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98" sId="31" odxf="1" dxf="1" numFmtId="4">
    <nc r="J21">
      <v>169.4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99" sId="31" odxf="1" dxf="1" numFmtId="4">
    <nc r="K21">
      <v>231.4207650273224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600" sId="31" odxf="1" dxf="1" numFmtId="4">
    <nc r="L21">
      <v>256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1" sId="31" odxf="1" dxf="1" numFmtId="4">
    <nc r="M21">
      <v>350.6849315068493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2" sId="31" odxf="1" dxf="1" numFmtId="4">
    <nc r="N21">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3" sId="31" odxf="1" dxf="1" numFmtId="4">
    <nc r="O21">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4" sId="31" odxf="1" dxf="1">
    <nc r="P21">
      <v>261</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05" sId="31" odxf="1" dxf="1" numFmtId="4">
    <nc r="Q21">
      <v>357.53424657534248</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6" sId="31" odxf="1" dxf="1">
    <nc r="A22" t="inlineStr">
      <is>
        <t>Софиты Т4</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22"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07" sId="31" odxf="1" dxf="1">
    <nc r="C22" t="inlineStr">
      <is>
        <t>Рисунок</t>
      </is>
    </nc>
    <odxf>
      <font>
        <b val="0"/>
        <sz val="11"/>
        <color theme="1"/>
        <name val="Calibri"/>
        <scheme val="minor"/>
      </font>
      <fill>
        <patternFill patternType="none">
          <bgColor indexed="65"/>
        </patternFill>
      </fill>
      <alignment horizontal="general" vertical="bottom" wrapText="0" readingOrder="0"/>
      <border outline="0">
        <left/>
        <right/>
        <top/>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rder>
    </ndxf>
  </rcc>
  <rcc rId="8608" sId="31" odxf="1" dxf="1">
    <nc r="D22" t="inlineStr">
      <is>
        <t>Ширина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09" sId="31" odxf="1" dxf="1">
    <nc r="E22"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10" sId="31" odxf="1" dxf="1">
    <nc r="F22"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611" sId="31" odxf="1" dxf="1">
    <nc r="G22"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12" sId="31" odxf="1" dxf="1">
    <nc r="H22"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22"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13" sId="31" odxf="1" dxf="1">
    <nc r="J22"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1" sqref="L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M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1" sqref="N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O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cc rId="8614" sId="31" odxf="1" dxf="1">
    <nc r="P22"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23"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23"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23"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fmt sheetId="31" sqref="D23"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E23"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23"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23"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615" sId="31" odxf="1" dxf="1">
    <nc r="H23"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16" sId="31" odxf="1" dxf="1">
    <nc r="I23"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17" sId="31" odxf="1" dxf="1">
    <nc r="J23"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18" sId="31" odxf="1" dxf="1">
    <nc r="K23"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19" sId="31" odxf="1" dxf="1">
    <nc r="L23"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20" sId="31" odxf="1" dxf="1">
    <nc r="N23"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21" sId="31" odxf="1" dxf="1">
    <nc r="P23"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22" sId="31" odxf="1" dxf="1">
    <nc r="Q23"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23" sId="31" odxf="1" dxf="1">
    <nc r="A24" t="inlineStr">
      <is>
        <t>Софит белый (гладкий, перфорированный)</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4" start="0" length="0">
    <dxf>
      <border outline="0">
        <left style="thin">
          <color indexed="64"/>
        </left>
        <right style="thin">
          <color indexed="64"/>
        </right>
        <top style="thin">
          <color indexed="64"/>
        </top>
        <bottom style="thin">
          <color indexed="64"/>
        </bottom>
      </border>
    </dxf>
  </rfmt>
  <rfmt sheetId="31" sqref="C24" start="0" length="0">
    <dxf>
      <font>
        <sz val="8"/>
        <color auto="1"/>
        <name val="Arial"/>
        <scheme val="none"/>
      </font>
      <alignment vertical="center" wrapText="1" readingOrder="0"/>
      <border outline="0">
        <left style="thin">
          <color indexed="64"/>
        </left>
        <right style="thin">
          <color indexed="64"/>
        </right>
        <top style="thin">
          <color indexed="64"/>
        </top>
      </border>
    </dxf>
  </rfmt>
  <rcc rId="8624" sId="31" odxf="1" dxf="1" numFmtId="4">
    <nc r="D24">
      <v>0.30299999999999999</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25" sId="31" odxf="1" dxf="1" numFmtId="4">
    <nc r="E24">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26" sId="31" odxf="1" dxf="1" numFmtId="4">
    <nc r="F24">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27" sId="31" odxf="1" dxf="1">
    <nc r="G24" t="inlineStr">
      <is>
        <t>белый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4"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4"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628" sId="31" odxf="1" dxf="1" numFmtId="4">
    <nc r="J24">
      <v>367</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8629" sId="31" odxf="1" dxf="1" numFmtId="4">
    <nc r="K24">
      <v>403.74037403740374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630" sId="31" odxf="1" dxf="1" numFmtId="4">
    <nc r="L24">
      <v>485</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cc rId="8631" sId="31" odxf="1" dxf="1" numFmtId="4">
    <nc r="M24">
      <v>533.55335533553352</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32" sId="31" odxf="1" dxf="1" numFmtId="4">
    <nc r="N24">
      <v>0</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8633" sId="31" odxf="1" dxf="1" numFmtId="4">
    <nc r="O24">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34" sId="31" odxf="1" dxf="1">
    <nc r="P24">
      <v>508</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35" sId="31" odxf="1" dxf="1" numFmtId="4">
    <nc r="Q24">
      <v>558.85588558855886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36" sId="31" odxf="1" dxf="1">
    <nc r="A25" t="inlineStr">
      <is>
        <t>Софит коричневый (гладкий, перфорированный)</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5" start="0" length="0">
    <dxf>
      <border outline="0">
        <left style="thin">
          <color indexed="64"/>
        </left>
        <right style="thin">
          <color indexed="64"/>
        </right>
        <top style="thin">
          <color indexed="64"/>
        </top>
        <bottom style="thin">
          <color indexed="64"/>
        </bottom>
      </border>
    </dxf>
  </rfmt>
  <rfmt sheetId="31" sqref="C25"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8637" sId="31" odxf="1" dxf="1" numFmtId="4">
    <nc r="D25">
      <v>0.30299999999999999</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38" sId="31" odxf="1" dxf="1" numFmtId="4">
    <nc r="E25">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39" sId="31" odxf="1" dxf="1" numFmtId="4">
    <nc r="F25">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40" sId="31" odxf="1" dxf="1">
    <nc r="G25" t="inlineStr">
      <is>
        <t>коричневый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5"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5"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641" sId="31" odxf="1" dxf="1" numFmtId="4">
    <nc r="J25">
      <v>468</v>
    </nc>
    <odxf>
      <font>
        <sz val="11"/>
        <color theme="1"/>
        <name val="Calibri"/>
        <scheme val="minor"/>
      </font>
      <numFmt numFmtId="0" formatCode="General"/>
      <alignment horizontal="general" vertical="bottom" readingOrder="0"/>
      <border outline="0">
        <left/>
        <right/>
        <bottom/>
      </border>
    </odxf>
    <ndxf>
      <font>
        <sz val="13"/>
        <color auto="1"/>
        <name val="Arial"/>
        <scheme val="none"/>
      </font>
      <numFmt numFmtId="2" formatCode="0.00"/>
      <alignment horizontal="center" vertical="center" readingOrder="0"/>
      <border outline="0">
        <left style="thin">
          <color indexed="64"/>
        </left>
        <right style="thin">
          <color indexed="64"/>
        </right>
        <bottom style="thin">
          <color indexed="64"/>
        </bottom>
      </border>
    </ndxf>
  </rcc>
  <rcc rId="8642" sId="31" odxf="1" dxf="1" numFmtId="4">
    <nc r="K25">
      <v>514.85148514851483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643" sId="31" odxf="1" dxf="1" numFmtId="4">
    <nc r="L25">
      <v>618</v>
    </nc>
    <odxf>
      <font>
        <sz val="11"/>
        <color theme="1"/>
        <name val="Calibri"/>
        <scheme val="minor"/>
      </font>
      <numFmt numFmtId="0" formatCode="General"/>
      <alignment horizontal="general" vertical="bottom" readingOrder="0"/>
      <border outline="0">
        <left/>
        <right/>
        <bottom/>
      </border>
    </odxf>
    <ndxf>
      <font>
        <sz val="13"/>
        <color auto="1"/>
        <name val="Arial"/>
        <scheme val="none"/>
      </font>
      <numFmt numFmtId="1" formatCode="0"/>
      <alignment horizontal="center" vertical="center" readingOrder="0"/>
      <border outline="0">
        <left style="thin">
          <color indexed="64"/>
        </left>
        <right style="thin">
          <color indexed="64"/>
        </right>
        <bottom style="thin">
          <color indexed="64"/>
        </bottom>
      </border>
    </ndxf>
  </rcc>
  <rcc rId="8644" sId="31" odxf="1" dxf="1" numFmtId="4">
    <nc r="M25">
      <v>679.86798679867979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45" sId="31" odxf="1" dxf="1" numFmtId="4">
    <nc r="N25">
      <v>0</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8646" sId="31" odxf="1" dxf="1" numFmtId="4">
    <nc r="O25">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47" sId="31" odxf="1" dxf="1">
    <nc r="P25">
      <v>585</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48" sId="31" odxf="1" dxf="1" numFmtId="4">
    <nc r="Q25">
      <v>643.5643564356435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49" sId="31" odxf="1" dxf="1">
    <nc r="A26" t="inlineStr">
      <is>
        <t>Софит Premium Estetic</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26"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50" sId="31" odxf="1" dxf="1">
    <nc r="C26" t="inlineStr">
      <is>
        <t>Рисунок</t>
      </is>
    </nc>
    <odxf>
      <font>
        <b val="0"/>
        <sz val="11"/>
        <color theme="1"/>
        <name val="Calibri"/>
        <scheme val="minor"/>
      </font>
      <fill>
        <patternFill patternType="none">
          <bgColor indexed="65"/>
        </patternFill>
      </fill>
      <alignment horizontal="general" vertical="bottom" wrapText="0" readingOrder="0"/>
      <border outline="0">
        <left/>
        <right/>
        <top/>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rder>
    </ndxf>
  </rcc>
  <rcc rId="8651" sId="31" odxf="1" dxf="1">
    <nc r="D26" t="inlineStr">
      <is>
        <t>Ширина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52" sId="31" odxf="1" dxf="1">
    <nc r="E26"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53" sId="31" odxf="1" dxf="1">
    <nc r="F26"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654" sId="31" odxf="1" dxf="1">
    <nc r="G26"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55" sId="31" odxf="1" dxf="1">
    <nc r="H26"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26"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56" sId="31" odxf="1" dxf="1">
    <nc r="J26"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1" sqref="L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M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1" sqref="N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O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cc rId="8657" sId="31" odxf="1" dxf="1">
    <nc r="P26"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27"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27"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27"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fmt sheetId="31" sqref="D27"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E27"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27"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27"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658" sId="31" odxf="1" dxf="1">
    <nc r="H27"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59" sId="31" odxf="1" dxf="1">
    <nc r="I27"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60" sId="31" odxf="1" dxf="1">
    <nc r="J27"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61" sId="31" odxf="1" dxf="1">
    <nc r="K27"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62" sId="31" odxf="1" dxf="1">
    <nc r="L27"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63" sId="31" odxf="1" dxf="1">
    <nc r="N27"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64" sId="31" odxf="1" dxf="1">
    <nc r="P27"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65" sId="31" odxf="1" dxf="1">
    <nc r="Q27"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66" sId="31" odxf="1" dxf="1">
    <nc r="A28" t="inlineStr">
      <is>
        <t xml:space="preserve">Premium Софит со скрытой перфорацией GL Estetic 3,0 </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8" start="0" length="0">
    <dxf>
      <border outline="0">
        <left style="thin">
          <color indexed="64"/>
        </left>
        <right style="thin">
          <color indexed="64"/>
        </right>
        <top style="thin">
          <color indexed="64"/>
        </top>
        <bottom style="thin">
          <color indexed="64"/>
        </bottom>
      </border>
    </dxf>
  </rfmt>
  <rfmt sheetId="31" sqref="C28" start="0" length="0">
    <dxf>
      <font>
        <sz val="8"/>
        <color auto="1"/>
        <name val="Arial"/>
        <scheme val="none"/>
      </font>
      <alignment horizontal="center" vertical="center" wrapText="1" readingOrder="0"/>
      <border outline="0">
        <left style="thin">
          <color indexed="64"/>
        </left>
        <right style="thin">
          <color indexed="64"/>
        </right>
        <top style="thin">
          <color indexed="64"/>
        </top>
      </border>
    </dxf>
  </rfmt>
  <rcc rId="8667" sId="31" odxf="1" dxf="1" numFmtId="4">
    <nc r="D28">
      <v>0.246</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68" sId="31" odxf="1" dxf="1" numFmtId="4">
    <nc r="E28">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69" sId="31" odxf="1" dxf="1" numFmtId="4">
    <nc r="F28">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70" sId="31" odxf="1" dxf="1">
    <nc r="G28" t="inlineStr">
      <is>
        <t>белый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8"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8"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J28" start="0" length="0">
    <dxf>
      <font>
        <sz val="13"/>
        <color auto="1"/>
        <name val="Arial"/>
        <scheme val="none"/>
      </font>
      <numFmt numFmtId="2" formatCode="0.00"/>
      <alignment horizontal="center" vertical="center" wrapText="1" readingOrder="0"/>
      <border outline="0">
        <left style="thin">
          <color indexed="64"/>
        </left>
        <top style="thin">
          <color indexed="64"/>
        </top>
      </border>
      <protection locked="0"/>
    </dxf>
  </rfmt>
  <rfmt sheetId="31" sqref="K28" start="0" length="0">
    <dxf>
      <font>
        <sz val="13"/>
        <color auto="1"/>
        <name val="Arial"/>
        <scheme val="none"/>
      </font>
      <numFmt numFmtId="2" formatCode="0.00"/>
      <alignment horizontal="center" vertical="center" wrapText="1" readingOrder="0"/>
      <border outline="0">
        <right style="thin">
          <color indexed="64"/>
        </right>
        <top style="thin">
          <color indexed="64"/>
        </top>
      </border>
      <protection locked="0"/>
    </dxf>
  </rfmt>
  <rcc rId="8671" sId="31" odxf="1" s="1" dxf="1" numFmtId="4">
    <nc r="L28">
      <v>581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672" sId="31" odxf="1" s="1" dxf="1" numFmtId="4">
    <nc r="M28">
      <v>787.26287262872631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73" sId="31" odxf="1" s="1" dxf="1" numFmtId="4">
    <nc r="N28">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674" sId="31" odxf="1" s="1" dxf="1" numFmtId="4">
    <nc r="O28">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75" sId="31" odxf="1" dxf="1">
    <nc r="P28">
      <v>562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76" sId="31" odxf="1" dxf="1" numFmtId="4">
    <nc r="Q28">
      <v>761.51761517615182</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77" sId="31" odxf="1" dxf="1">
    <nc r="A29" t="inlineStr">
      <is>
        <t xml:space="preserve">Premium Софит со скрытой перфорацией GL Estetic 3,0 </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9" start="0" length="0">
    <dxf>
      <border outline="0">
        <left style="thin">
          <color indexed="64"/>
        </left>
        <right style="thin">
          <color indexed="64"/>
        </right>
        <top style="thin">
          <color indexed="64"/>
        </top>
        <bottom style="thin">
          <color indexed="64"/>
        </bottom>
      </border>
    </dxf>
  </rfmt>
  <rfmt sheetId="31" sqref="C29" start="0" length="0">
    <dxf>
      <font>
        <sz val="8"/>
        <color auto="1"/>
        <name val="Arial"/>
        <scheme val="none"/>
      </font>
      <alignment horizontal="center" vertical="center" wrapText="1" readingOrder="0"/>
      <border outline="0">
        <left style="thin">
          <color indexed="64"/>
        </left>
        <right style="thin">
          <color indexed="64"/>
        </right>
        <bottom style="thin">
          <color indexed="64"/>
        </bottom>
      </border>
    </dxf>
  </rfmt>
  <rcc rId="8678" sId="31" odxf="1" dxf="1" numFmtId="4">
    <nc r="D29">
      <v>0.246</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79" sId="31" odxf="1" dxf="1" numFmtId="4">
    <nc r="E29">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80" sId="31" odxf="1" dxf="1" numFmtId="4">
    <nc r="F29">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81" sId="31" odxf="1" dxf="1">
    <nc r="G29" t="inlineStr">
      <is>
        <t>коричневый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9"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9"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J29" start="0" length="0">
    <dxf>
      <font>
        <sz val="13"/>
        <color auto="1"/>
        <name val="Arial"/>
        <scheme val="none"/>
      </font>
      <numFmt numFmtId="2" formatCode="0.00"/>
      <alignment horizontal="center" vertical="center" wrapText="1" readingOrder="0"/>
      <border outline="0">
        <left style="thin">
          <color indexed="64"/>
        </left>
        <bottom style="thin">
          <color indexed="64"/>
        </bottom>
      </border>
      <protection locked="0"/>
    </dxf>
  </rfmt>
  <rfmt sheetId="31" sqref="K29" start="0" length="0">
    <dxf>
      <font>
        <sz val="13"/>
        <color auto="1"/>
        <name val="Arial"/>
        <scheme val="none"/>
      </font>
      <numFmt numFmtId="2" formatCode="0.00"/>
      <alignment horizontal="center" vertical="center" wrapText="1" readingOrder="0"/>
      <border outline="0">
        <right style="thin">
          <color indexed="64"/>
        </right>
        <bottom style="thin">
          <color indexed="64"/>
        </bottom>
      </border>
      <protection locked="0"/>
    </dxf>
  </rfmt>
  <rcc rId="8682" sId="31" odxf="1" dxf="1" numFmtId="4">
    <nc r="L29">
      <v>742</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cc rId="8683" sId="31" odxf="1" s="1" dxf="1" numFmtId="4">
    <nc r="M29">
      <v>1005.420054200542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84" sId="31" odxf="1" s="1" dxf="1" numFmtId="4">
    <nc r="N29">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685" sId="31" odxf="1" s="1" dxf="1" numFmtId="4">
    <nc r="O29">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86" sId="31" odxf="1" dxf="1">
    <nc r="P29">
      <v>647</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87" sId="31" odxf="1" dxf="1" numFmtId="4">
    <nc r="Q29">
      <v>876.69376693766935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88" sId="31" odxf="1" dxf="1">
    <nc r="A30" t="inlineStr">
      <is>
        <t>Доборные элементы</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30"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89" sId="31" odxf="1" dxf="1">
    <nc r="C30" t="inlineStr">
      <is>
        <t>Рисунок</t>
      </is>
    </nc>
    <odxf>
      <font>
        <b val="0"/>
        <sz val="11"/>
        <color theme="1"/>
        <name val="Calibri"/>
        <scheme val="minor"/>
      </font>
      <fill>
        <patternFill patternType="none">
          <bgColor indexed="65"/>
        </patternFill>
      </fill>
      <alignment horizontal="general" vertical="bottom" wrapText="0" readingOrder="0"/>
      <border outline="0">
        <left/>
        <top/>
      </border>
    </odxf>
    <ndxf>
      <font>
        <b/>
        <sz val="9"/>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D30" start="0" length="0">
    <dxf>
      <font>
        <b/>
        <sz val="9"/>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90" sId="31" odxf="1" dxf="1">
    <nc r="E30"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91" sId="31" odxf="1" dxf="1">
    <nc r="F30"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692" sId="31" odxf="1" dxf="1">
    <nc r="G30"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93" sId="31" odxf="1" dxf="1">
    <nc r="H30"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rder>
      <protection locked="0"/>
    </ndxf>
  </rcc>
  <rfmt sheetId="31" sqref="I30" start="0" length="0">
    <dxf>
      <alignment horizontal="center" vertical="center" readingOrder="0"/>
      <border outline="0">
        <right style="thin">
          <color indexed="64"/>
        </right>
        <top style="thin">
          <color indexed="64"/>
        </top>
      </border>
    </dxf>
  </rfmt>
  <rcc rId="8694" sId="31" odxf="1" dxf="1">
    <nc r="J30" t="inlineStr">
      <is>
        <t>РРЦ руб.</t>
      </is>
    </nc>
    <odxf>
      <font>
        <b val="0"/>
        <sz val="11"/>
        <color theme="1"/>
        <name val="Calibri"/>
        <scheme val="minor"/>
      </font>
      <fill>
        <patternFill patternType="none">
          <bgColor indexed="65"/>
        </patternFill>
      </fill>
      <alignment horizontal="general" vertical="bottom" wrapText="0" readingOrder="0"/>
      <border outline="0">
        <left/>
        <top/>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K30" start="0" length="0">
    <dxf>
      <alignment horizontal="center" vertical="center" readingOrder="0"/>
      <border outline="0">
        <right style="thin">
          <color indexed="64"/>
        </right>
        <top style="thin">
          <color indexed="64"/>
        </top>
      </border>
    </dxf>
  </rfmt>
  <rfmt sheetId="31" s="1" sqref="L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M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1" sqref="N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O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cc rId="8695" sId="31" odxf="1" dxf="1">
    <nc r="P30" t="inlineStr">
      <is>
        <t>РРЦ руб.</t>
      </is>
    </nc>
    <odxf>
      <font>
        <b val="0"/>
        <sz val="11"/>
        <color theme="1"/>
        <name val="Calibri"/>
        <scheme val="minor"/>
      </font>
      <fill>
        <patternFill patternType="none">
          <bgColor indexed="65"/>
        </patternFill>
      </fill>
      <alignment horizontal="general" vertical="bottom" wrapText="0" readingOrder="0"/>
      <border outline="0">
        <left/>
        <top/>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Q30" start="0" length="0">
    <dxf>
      <alignment horizontal="center" vertical="center" readingOrder="0"/>
      <border outline="0">
        <right style="thin">
          <color indexed="64"/>
        </right>
        <top style="thin">
          <color indexed="64"/>
        </top>
      </border>
    </dxf>
  </rfmt>
  <rfmt sheetId="31" sqref="A31"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31"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31" start="0" length="0">
    <dxf>
      <font>
        <b/>
        <sz val="9"/>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D31" start="0" length="0">
    <dxf>
      <font>
        <b/>
        <sz val="9"/>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E31"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31"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31"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H31" start="0" length="0">
    <dxf>
      <alignment horizontal="center" vertical="center" readingOrder="0"/>
      <border outline="0">
        <left style="thin">
          <color indexed="64"/>
        </left>
        <bottom style="thin">
          <color indexed="64"/>
        </bottom>
      </border>
    </dxf>
  </rfmt>
  <rfmt sheetId="31" sqref="I31" start="0" length="0">
    <dxf>
      <alignment horizontal="center" vertical="center" readingOrder="0"/>
      <border outline="0">
        <right style="thin">
          <color indexed="64"/>
        </right>
        <bottom style="thin">
          <color indexed="64"/>
        </bottom>
      </border>
    </dxf>
  </rfmt>
  <rfmt sheetId="31" sqref="J31" start="0" length="0">
    <dxf>
      <alignment horizontal="center" vertical="center" readingOrder="0"/>
      <border outline="0">
        <left style="thin">
          <color indexed="64"/>
        </left>
        <bottom style="thin">
          <color indexed="64"/>
        </bottom>
      </border>
    </dxf>
  </rfmt>
  <rfmt sheetId="31" sqref="K31" start="0" length="0">
    <dxf>
      <alignment horizontal="center" vertical="center" readingOrder="0"/>
      <border outline="0">
        <right style="thin">
          <color indexed="64"/>
        </right>
        <bottom style="thin">
          <color indexed="64"/>
        </bottom>
      </border>
    </dxf>
  </rfmt>
  <rcc rId="8696" sId="31" odxf="1" dxf="1">
    <nc r="L31"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3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N31" start="0" length="0">
    <dxf>
      <font>
        <sz val="13"/>
        <color indexed="55"/>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qref="O31" start="0" length="0">
    <dxf>
      <font>
        <sz val="13"/>
        <color indexed="55"/>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P31" start="0" length="0">
    <dxf>
      <alignment horizontal="center" vertical="center" readingOrder="0"/>
      <border outline="0">
        <left style="thin">
          <color indexed="64"/>
        </left>
        <bottom style="thin">
          <color indexed="64"/>
        </bottom>
      </border>
    </dxf>
  </rfmt>
  <rfmt sheetId="31" sqref="Q31" start="0" length="0">
    <dxf>
      <alignment horizontal="center" vertical="center" readingOrder="0"/>
      <border outline="0">
        <right style="thin">
          <color indexed="64"/>
        </right>
        <bottom style="thin">
          <color indexed="64"/>
        </bottom>
      </border>
    </dxf>
  </rfmt>
  <rcc rId="8697" sId="31" odxf="1" dxf="1">
    <nc r="A32" t="inlineStr">
      <is>
        <t>Н-профиль соединительный</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32" start="0" length="0">
    <dxf>
      <font>
        <b/>
        <sz val="12"/>
        <color auto="1"/>
        <name val="Arial"/>
        <scheme val="none"/>
      </font>
      <alignment horizontal="center" vertical="center" wrapText="1" readingOrder="0"/>
      <border outline="0">
        <right style="thin">
          <color indexed="64"/>
        </right>
        <top style="thin">
          <color indexed="64"/>
        </top>
      </border>
    </dxf>
  </rfmt>
  <rfmt sheetId="31" sqref="C32" start="0" length="0">
    <dxf>
      <font>
        <sz val="8"/>
        <color auto="1"/>
        <name val="Arial"/>
        <scheme val="none"/>
      </font>
      <alignment horizontal="center" vertical="center" wrapText="1" readingOrder="0"/>
      <border outline="0">
        <left style="thin">
          <color indexed="64"/>
        </left>
        <top style="thin">
          <color indexed="64"/>
        </top>
      </border>
    </dxf>
  </rfmt>
  <rfmt sheetId="31" sqref="D32" start="0" length="0">
    <dxf>
      <font>
        <sz val="8"/>
        <color auto="1"/>
        <name val="Arial"/>
        <scheme val="none"/>
      </font>
      <alignment horizontal="center" vertical="center" wrapText="1" readingOrder="0"/>
      <border outline="0">
        <right style="thin">
          <color indexed="64"/>
        </right>
        <top style="thin">
          <color indexed="64"/>
        </top>
      </border>
    </dxf>
  </rfmt>
  <rcc rId="8698" sId="31" odxf="1" dxf="1" numFmtId="4">
    <nc r="E32">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699" sId="31" odxf="1" dxf="1">
    <nc r="F32">
      <v>24</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00" sId="31" odxf="1" dxf="1">
    <nc r="G32"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2"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2"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01" sId="31" odxf="1" dxf="1" numFmtId="4">
    <nc r="J32">
      <v>352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2"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02" sId="31" odxf="1" dxf="1" numFmtId="4">
    <nc r="L32">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3" sId="31" odxf="1" dxf="1" numFmtId="4">
    <nc r="N32">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4" sId="31" odxf="1" dxf="1">
    <nc r="P32">
      <v>619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3" start="0" length="0">
    <dxf>
      <font>
        <b/>
        <sz val="12"/>
        <color auto="1"/>
        <name val="Arial"/>
        <scheme val="none"/>
      </font>
      <alignment horizontal="center" vertical="center" wrapText="1" readingOrder="0"/>
      <border outline="0">
        <left style="thin">
          <color indexed="64"/>
        </left>
      </border>
    </dxf>
  </rfmt>
  <rfmt sheetId="31" sqref="B33" start="0" length="0">
    <dxf>
      <font>
        <b/>
        <sz val="12"/>
        <color auto="1"/>
        <name val="Arial"/>
        <scheme val="none"/>
      </font>
      <alignment horizontal="center" vertical="center" wrapText="1" readingOrder="0"/>
      <border outline="0">
        <right style="thin">
          <color indexed="64"/>
        </right>
      </border>
    </dxf>
  </rfmt>
  <rfmt sheetId="31" sqref="C33" start="0" length="0">
    <dxf>
      <font>
        <sz val="8"/>
        <color auto="1"/>
        <name val="Arial"/>
        <scheme val="none"/>
      </font>
      <alignment horizontal="center" vertical="center" wrapText="1" readingOrder="0"/>
      <border outline="0">
        <left style="thin">
          <color indexed="64"/>
        </left>
      </border>
    </dxf>
  </rfmt>
  <rfmt sheetId="31" sqref="D33" start="0" length="0">
    <dxf>
      <font>
        <sz val="8"/>
        <color auto="1"/>
        <name val="Arial"/>
        <scheme val="none"/>
      </font>
      <alignment horizontal="center" vertical="center" wrapText="1" readingOrder="0"/>
      <border outline="0">
        <right style="thin">
          <color indexed="64"/>
        </right>
      </border>
    </dxf>
  </rfmt>
  <rfmt sheetId="31" sqref="E33"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3" start="0" length="0">
    <dxf>
      <font>
        <sz val="12"/>
        <color auto="1"/>
        <name val="Arial"/>
        <scheme val="none"/>
      </font>
      <alignment horizontal="center" vertical="center" wrapText="1" readingOrder="0"/>
      <border outline="0">
        <left style="thin">
          <color indexed="64"/>
        </left>
        <right style="thin">
          <color indexed="64"/>
        </right>
      </border>
    </dxf>
  </rfmt>
  <rcc rId="8705" sId="31" odxf="1" dxf="1">
    <nc r="G33"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3"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3"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06" sId="31" odxf="1" dxf="1" numFmtId="4">
    <nc r="J33">
      <v>387.2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07" sId="31" odxf="1" dxf="1" numFmtId="4">
    <nc r="L33">
      <v>605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8" sId="31" odxf="1" dxf="1" numFmtId="4">
    <nc r="N33">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9" sId="31" odxf="1" dxf="1">
    <nc r="P33">
      <v>714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4" start="0" length="0">
    <dxf>
      <font>
        <b/>
        <sz val="12"/>
        <color auto="1"/>
        <name val="Arial"/>
        <scheme val="none"/>
      </font>
      <alignment horizontal="center" vertical="center" wrapText="1" readingOrder="0"/>
      <border outline="0">
        <left style="thin">
          <color indexed="64"/>
        </left>
        <bottom style="thin">
          <color indexed="64"/>
        </bottom>
      </border>
    </dxf>
  </rfmt>
  <rfmt sheetId="31" sqref="B34" start="0" length="0">
    <dxf>
      <font>
        <b/>
        <sz val="12"/>
        <color auto="1"/>
        <name val="Arial"/>
        <scheme val="none"/>
      </font>
      <alignment horizontal="center" vertical="center" wrapText="1" readingOrder="0"/>
      <border outline="0">
        <right style="thin">
          <color indexed="64"/>
        </right>
        <bottom style="thin">
          <color indexed="64"/>
        </bottom>
      </border>
    </dxf>
  </rfmt>
  <rfmt sheetId="31" sqref="C34" start="0" length="0">
    <dxf>
      <font>
        <sz val="8"/>
        <color auto="1"/>
        <name val="Arial"/>
        <scheme val="none"/>
      </font>
      <alignment horizontal="center" vertical="center" wrapText="1" readingOrder="0"/>
      <border outline="0">
        <left style="thin">
          <color indexed="64"/>
        </left>
      </border>
    </dxf>
  </rfmt>
  <rfmt sheetId="31" sqref="D34" start="0" length="0">
    <dxf>
      <font>
        <sz val="8"/>
        <color auto="1"/>
        <name val="Arial"/>
        <scheme val="none"/>
      </font>
      <alignment horizontal="center" vertical="center" wrapText="1" readingOrder="0"/>
      <border outline="0">
        <right style="thin">
          <color indexed="64"/>
        </right>
      </border>
    </dxf>
  </rfmt>
  <rfmt sheetId="31" sqref="E34"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4" start="0" length="0">
    <dxf>
      <font>
        <sz val="12"/>
        <color auto="1"/>
        <name val="Arial"/>
        <scheme val="none"/>
      </font>
      <alignment horizontal="center" vertical="center" wrapText="1" readingOrder="0"/>
      <border outline="0">
        <left style="thin">
          <color indexed="64"/>
        </left>
        <right style="thin">
          <color indexed="64"/>
        </right>
      </border>
    </dxf>
  </rfmt>
  <rcc rId="8710" sId="31" odxf="1" dxf="1">
    <nc r="G34" t="inlineStr">
      <is>
        <t>коричневый</t>
      </is>
    </nc>
    <odxf>
      <font>
        <sz val="11"/>
        <color theme="1"/>
        <name val="Calibri"/>
        <scheme val="minor"/>
      </font>
      <alignment horizontal="general" vertical="bottom" readingOrder="0"/>
      <border outline="0">
        <left/>
        <right/>
        <top/>
      </border>
    </odxf>
    <ndxf>
      <font>
        <sz val="12"/>
        <color auto="1"/>
        <name val="Arial Cyr"/>
        <scheme val="none"/>
      </font>
      <alignment horizontal="center" vertical="center" readingOrder="0"/>
      <border outline="0">
        <left style="thin">
          <color indexed="64"/>
        </left>
        <right style="thin">
          <color indexed="64"/>
        </right>
        <top style="thin">
          <color indexed="64"/>
        </top>
      </border>
    </ndxf>
  </rcc>
  <rfmt sheetId="31" sqref="H34"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4"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11" sId="31" odxf="1" dxf="1" numFmtId="4">
    <nc r="J34">
      <v>418</v>
    </nc>
    <odxf>
      <font>
        <sz val="11"/>
        <color theme="1"/>
        <name val="Calibri"/>
        <scheme val="minor"/>
      </font>
      <numFmt numFmtId="0" formatCode="General"/>
      <alignment horizontal="general" vertical="bottom" readingOrder="0"/>
      <border outline="0">
        <left/>
        <top/>
      </border>
    </odxf>
    <ndxf>
      <font>
        <sz val="13"/>
        <color auto="1"/>
        <name val="Arial Cyr"/>
        <scheme val="none"/>
      </font>
      <numFmt numFmtId="4" formatCode="#,##0.00"/>
      <alignment horizontal="center" vertical="center" readingOrder="0"/>
      <border outline="0">
        <left style="thin">
          <color indexed="64"/>
        </left>
        <top style="thin">
          <color indexed="64"/>
        </top>
      </border>
    </ndxf>
  </rcc>
  <rfmt sheetId="31" sqref="K34" start="0" length="0">
    <dxf>
      <font>
        <sz val="13"/>
        <color auto="1"/>
        <name val="Arial Cyr"/>
        <scheme val="none"/>
      </font>
      <numFmt numFmtId="4" formatCode="#,##0.00"/>
      <alignment horizontal="center" vertical="center" readingOrder="0"/>
      <border outline="0">
        <right style="thin">
          <color indexed="64"/>
        </right>
        <top style="thin">
          <color indexed="64"/>
        </top>
      </border>
    </dxf>
  </rfmt>
  <rcc rId="8712" sId="31" odxf="1" dxf="1" numFmtId="4">
    <nc r="L34">
      <v>625</v>
    </nc>
    <odxf>
      <font>
        <sz val="11"/>
        <color theme="1"/>
        <name val="Calibri"/>
        <scheme val="minor"/>
      </font>
      <numFmt numFmtId="0" formatCode="General"/>
      <alignment horizontal="general" vertical="bottom" readingOrder="0"/>
      <border outline="0">
        <left/>
        <top/>
      </border>
    </odxf>
    <ndxf>
      <font>
        <sz val="13"/>
        <color auto="1"/>
        <name val="Arial"/>
        <scheme val="none"/>
      </font>
      <numFmt numFmtId="3" formatCode="#,##0"/>
      <alignment horizontal="center" vertical="center" readingOrder="0"/>
      <border outline="0">
        <left style="thin">
          <color indexed="64"/>
        </left>
        <top style="thin">
          <color indexed="64"/>
        </top>
      </border>
    </ndxf>
  </rcc>
  <rfmt sheetId="31" sqref="M34" start="0" length="0">
    <dxf>
      <font>
        <sz val="13"/>
        <color auto="1"/>
        <name val="Arial"/>
        <scheme val="none"/>
      </font>
      <numFmt numFmtId="3" formatCode="#,##0"/>
      <alignment horizontal="center" vertical="center" readingOrder="0"/>
      <border outline="0">
        <right style="thin">
          <color indexed="64"/>
        </right>
        <top style="thin">
          <color indexed="64"/>
        </top>
      </border>
    </dxf>
  </rfmt>
  <rcc rId="8713" sId="31" odxf="1" dxf="1" numFmtId="4">
    <nc r="N34">
      <v>0</v>
    </nc>
    <odxf>
      <font>
        <sz val="11"/>
        <color theme="1"/>
        <name val="Calibri"/>
        <scheme val="minor"/>
      </font>
      <numFmt numFmtId="0" formatCode="General"/>
      <alignment horizontal="general" vertical="bottom" readingOrder="0"/>
      <border outline="0">
        <left/>
        <top/>
      </border>
    </odxf>
    <ndxf>
      <font>
        <sz val="13"/>
        <color auto="1"/>
        <name val="Arial"/>
        <scheme val="none"/>
      </font>
      <numFmt numFmtId="3" formatCode="#,##0"/>
      <alignment horizontal="center" vertical="center" readingOrder="0"/>
      <border outline="0">
        <left style="thin">
          <color indexed="64"/>
        </left>
        <top style="thin">
          <color indexed="64"/>
        </top>
      </border>
    </ndxf>
  </rcc>
  <rfmt sheetId="31" sqref="O34" start="0" length="0">
    <dxf>
      <font>
        <sz val="13"/>
        <color auto="1"/>
        <name val="Arial"/>
        <scheme val="none"/>
      </font>
      <numFmt numFmtId="3" formatCode="#,##0"/>
      <alignment horizontal="center" vertical="center" readingOrder="0"/>
      <border outline="0">
        <right style="thin">
          <color indexed="64"/>
        </right>
        <top style="thin">
          <color indexed="64"/>
        </top>
      </border>
    </dxf>
  </rfmt>
  <rcc rId="8714" sId="31" odxf="1" dxf="1">
    <nc r="P34">
      <v>666</v>
    </nc>
    <odxf>
      <font>
        <sz val="11"/>
        <color theme="1"/>
        <name val="Calibri"/>
        <scheme val="minor"/>
      </font>
      <alignment horizontal="general" vertical="bottom" readingOrder="0"/>
      <border outline="0">
        <left/>
        <right/>
        <top/>
      </border>
    </odxf>
    <ndxf>
      <font>
        <sz val="13"/>
        <color auto="1"/>
        <name val="Arial Cyr"/>
        <scheme val="none"/>
      </font>
      <alignment horizontal="center" vertical="center" readingOrder="0"/>
      <border outline="0">
        <left style="thin">
          <color indexed="64"/>
        </left>
        <right style="thin">
          <color indexed="64"/>
        </right>
        <top style="thin">
          <color indexed="64"/>
        </top>
      </border>
    </ndxf>
  </rcc>
  <rfmt sheetId="31" sqref="Q34" start="0" length="0">
    <dxf>
      <font>
        <sz val="13"/>
        <color auto="1"/>
        <name val="Arial Cyr"/>
        <scheme val="none"/>
      </font>
      <alignment horizontal="center" vertical="center" readingOrder="0"/>
      <border outline="0">
        <left style="thin">
          <color indexed="64"/>
        </left>
        <right style="thin">
          <color indexed="64"/>
        </right>
        <top style="thin">
          <color indexed="64"/>
        </top>
      </border>
    </dxf>
  </rfmt>
  <rcc rId="8715" sId="31" odxf="1" dxf="1">
    <nc r="A35" t="inlineStr">
      <is>
        <t>J-профиль</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35" start="0" length="0">
    <dxf>
      <font>
        <b/>
        <sz val="12"/>
        <color auto="1"/>
        <name val="Arial"/>
        <scheme val="none"/>
      </font>
      <alignment horizontal="center" vertical="center" wrapText="1" readingOrder="0"/>
      <border outline="0">
        <right style="thin">
          <color indexed="64"/>
        </right>
        <top style="thin">
          <color indexed="64"/>
        </top>
      </border>
    </dxf>
  </rfmt>
  <rfmt sheetId="31" sqref="C35" start="0" length="0">
    <dxf>
      <font>
        <sz val="8"/>
        <color auto="1"/>
        <name val="Arial"/>
        <scheme val="none"/>
      </font>
      <alignment horizontal="center" vertical="center" wrapText="1" readingOrder="0"/>
      <border outline="0">
        <left style="thin">
          <color indexed="64"/>
        </left>
        <top style="thin">
          <color indexed="64"/>
        </top>
      </border>
    </dxf>
  </rfmt>
  <rfmt sheetId="31" sqref="D35" start="0" length="0">
    <dxf>
      <font>
        <sz val="8"/>
        <color auto="1"/>
        <name val="Arial"/>
        <scheme val="none"/>
      </font>
      <alignment horizontal="center" vertical="center" wrapText="1" readingOrder="0"/>
      <border outline="0">
        <right style="thin">
          <color indexed="64"/>
        </right>
        <top style="thin">
          <color indexed="64"/>
        </top>
      </border>
    </dxf>
  </rfmt>
  <rcc rId="8716" sId="31" odxf="1" dxf="1" numFmtId="4">
    <nc r="E35">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17" sId="31" odxf="1" dxf="1">
    <nc r="F35">
      <v>51</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18" sId="31" odxf="1" dxf="1">
    <nc r="G35"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5"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5"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19" sId="31" odxf="1" dxf="1" numFmtId="4">
    <nc r="J35">
      <v>136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20" sId="31" odxf="1" dxf="1" numFmtId="4">
    <nc r="L35">
      <v>204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1" sId="31" odxf="1" dxf="1" numFmtId="4">
    <nc r="N35">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2" sId="31" odxf="1" dxf="1">
    <nc r="P35">
      <v>241</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6" start="0" length="0">
    <dxf>
      <font>
        <b/>
        <sz val="12"/>
        <color auto="1"/>
        <name val="Arial"/>
        <scheme val="none"/>
      </font>
      <alignment horizontal="center" vertical="center" wrapText="1" readingOrder="0"/>
      <border outline="0">
        <left style="thin">
          <color indexed="64"/>
        </left>
      </border>
    </dxf>
  </rfmt>
  <rfmt sheetId="31" sqref="B36" start="0" length="0">
    <dxf>
      <font>
        <b/>
        <sz val="12"/>
        <color auto="1"/>
        <name val="Arial"/>
        <scheme val="none"/>
      </font>
      <alignment horizontal="center" vertical="center" wrapText="1" readingOrder="0"/>
      <border outline="0">
        <right style="thin">
          <color indexed="64"/>
        </right>
      </border>
    </dxf>
  </rfmt>
  <rfmt sheetId="31" sqref="C36" start="0" length="0">
    <dxf>
      <font>
        <sz val="8"/>
        <color auto="1"/>
        <name val="Arial"/>
        <scheme val="none"/>
      </font>
      <alignment horizontal="center" vertical="center" wrapText="1" readingOrder="0"/>
      <border outline="0">
        <left style="thin">
          <color indexed="64"/>
        </left>
      </border>
    </dxf>
  </rfmt>
  <rfmt sheetId="31" sqref="D36" start="0" length="0">
    <dxf>
      <font>
        <sz val="8"/>
        <color auto="1"/>
        <name val="Arial"/>
        <scheme val="none"/>
      </font>
      <alignment horizontal="center" vertical="center" wrapText="1" readingOrder="0"/>
      <border outline="0">
        <right style="thin">
          <color indexed="64"/>
        </right>
      </border>
    </dxf>
  </rfmt>
  <rfmt sheetId="31" sqref="E36"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6" start="0" length="0">
    <dxf>
      <font>
        <sz val="12"/>
        <color auto="1"/>
        <name val="Arial"/>
        <scheme val="none"/>
      </font>
      <alignment horizontal="center" vertical="center" wrapText="1" readingOrder="0"/>
      <border outline="0">
        <left style="thin">
          <color indexed="64"/>
        </left>
        <right style="thin">
          <color indexed="64"/>
        </right>
      </border>
    </dxf>
  </rfmt>
  <rcc rId="8723" sId="31" odxf="1" dxf="1">
    <nc r="G36"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6"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6"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24" sId="31" odxf="1" dxf="1" numFmtId="4">
    <nc r="J36">
      <v>149.6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25" sId="31" odxf="1" dxf="1" numFmtId="4">
    <nc r="L36">
      <v>234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6" sId="31" odxf="1" dxf="1" numFmtId="4">
    <nc r="N36">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7" sId="31" odxf="1" dxf="1">
    <nc r="P36">
      <v>275</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7" start="0" length="0">
    <dxf>
      <font>
        <b/>
        <sz val="12"/>
        <color auto="1"/>
        <name val="Arial"/>
        <scheme val="none"/>
      </font>
      <alignment horizontal="center" vertical="center" wrapText="1" readingOrder="0"/>
      <border outline="0">
        <left style="thin">
          <color indexed="64"/>
        </left>
        <bottom style="thin">
          <color indexed="64"/>
        </bottom>
      </border>
    </dxf>
  </rfmt>
  <rfmt sheetId="31" sqref="B37" start="0" length="0">
    <dxf>
      <font>
        <b/>
        <sz val="12"/>
        <color auto="1"/>
        <name val="Arial"/>
        <scheme val="none"/>
      </font>
      <alignment horizontal="center" vertical="center" wrapText="1" readingOrder="0"/>
      <border outline="0">
        <right style="thin">
          <color indexed="64"/>
        </right>
        <bottom style="thin">
          <color indexed="64"/>
        </bottom>
      </border>
    </dxf>
  </rfmt>
  <rfmt sheetId="31" sqref="C37" start="0" length="0">
    <dxf>
      <font>
        <sz val="8"/>
        <color auto="1"/>
        <name val="Arial"/>
        <scheme val="none"/>
      </font>
      <alignment horizontal="center" vertical="center" wrapText="1" readingOrder="0"/>
      <border outline="0">
        <left style="thin">
          <color indexed="64"/>
        </left>
      </border>
    </dxf>
  </rfmt>
  <rfmt sheetId="31" sqref="D37" start="0" length="0">
    <dxf>
      <font>
        <sz val="8"/>
        <color auto="1"/>
        <name val="Arial"/>
        <scheme val="none"/>
      </font>
      <alignment horizontal="center" vertical="center" wrapText="1" readingOrder="0"/>
      <border outline="0">
        <right style="thin">
          <color indexed="64"/>
        </right>
      </border>
    </dxf>
  </rfmt>
  <rfmt sheetId="31" sqref="E37"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7" start="0" length="0">
    <dxf>
      <font>
        <sz val="12"/>
        <color auto="1"/>
        <name val="Arial"/>
        <scheme val="none"/>
      </font>
      <alignment horizontal="center" vertical="center" wrapText="1" readingOrder="0"/>
      <border outline="0">
        <left style="thin">
          <color indexed="64"/>
        </left>
        <right style="thin">
          <color indexed="64"/>
        </right>
      </border>
    </dxf>
  </rfmt>
  <rcc rId="8728" sId="31" odxf="1" dxf="1">
    <nc r="G37" t="inlineStr">
      <is>
        <t>коричневый</t>
      </is>
    </nc>
    <odxf>
      <font>
        <sz val="11"/>
        <color theme="1"/>
        <name val="Calibri"/>
        <scheme val="minor"/>
      </font>
      <alignment horizontal="general" vertical="bottom" wrapText="0" readingOrder="0"/>
      <border outline="0">
        <left/>
        <right/>
        <top/>
        <bottom/>
      </border>
    </odxf>
    <ndxf>
      <font>
        <sz val="12"/>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7"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7"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29" sId="31" odxf="1" dxf="1" numFmtId="4">
    <nc r="J37">
      <v>162</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3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30" sId="31" odxf="1" dxf="1" numFmtId="4">
    <nc r="L37">
      <v>242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31" sId="31" odxf="1" dxf="1" numFmtId="4">
    <nc r="N37">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32" sId="31" odxf="1" dxf="1">
    <nc r="P37">
      <v>258</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33" sId="31" odxf="1" dxf="1">
    <nc r="A38" t="inlineStr">
      <is>
        <t>Финишная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38" start="0" length="0">
    <dxf>
      <font>
        <b/>
        <sz val="12"/>
        <color auto="1"/>
        <name val="Arial"/>
        <scheme val="none"/>
      </font>
      <alignment horizontal="center" vertical="center" wrapText="1" readingOrder="0"/>
      <border outline="0">
        <right style="thin">
          <color indexed="64"/>
        </right>
        <top style="thin">
          <color indexed="64"/>
        </top>
      </border>
    </dxf>
  </rfmt>
  <rfmt sheetId="31" sqref="C38" start="0" length="0">
    <dxf>
      <alignment horizontal="center" vertical="center" wrapText="1" readingOrder="0"/>
      <border outline="0">
        <left style="thin">
          <color indexed="64"/>
        </left>
        <top style="thin">
          <color indexed="64"/>
        </top>
      </border>
    </dxf>
  </rfmt>
  <rfmt sheetId="31" sqref="D38" start="0" length="0">
    <dxf>
      <alignment horizontal="center" vertical="center" wrapText="1" readingOrder="0"/>
      <border outline="0">
        <right style="thin">
          <color indexed="64"/>
        </right>
        <top style="thin">
          <color indexed="64"/>
        </top>
      </border>
    </dxf>
  </rfmt>
  <rcc rId="8734" sId="31" odxf="1" dxf="1" numFmtId="4">
    <nc r="E38">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35" sId="31" odxf="1" dxf="1">
    <nc r="F38">
      <v>50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36" sId="31" odxf="1" dxf="1">
    <nc r="G38"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8"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8"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37" sId="31" odxf="1" dxf="1" numFmtId="4">
    <nc r="J38">
      <v>113</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38"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38" sId="31" odxf="1" dxf="1" numFmtId="4">
    <nc r="L38">
      <v>168</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39" sId="31" odxf="1" dxf="1" numFmtId="4">
    <nc r="N38">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0" sId="31" odxf="1" dxf="1">
    <nc r="P38">
      <v>199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9" start="0" length="0">
    <dxf>
      <font>
        <b/>
        <sz val="12"/>
        <color auto="1"/>
        <name val="Arial"/>
        <scheme val="none"/>
      </font>
      <alignment horizontal="center" vertical="center" wrapText="1" readingOrder="0"/>
      <border outline="0">
        <left style="thin">
          <color indexed="64"/>
        </left>
      </border>
    </dxf>
  </rfmt>
  <rfmt sheetId="31" sqref="B39" start="0" length="0">
    <dxf>
      <font>
        <b/>
        <sz val="12"/>
        <color auto="1"/>
        <name val="Arial"/>
        <scheme val="none"/>
      </font>
      <alignment horizontal="center" vertical="center" wrapText="1" readingOrder="0"/>
      <border outline="0">
        <right style="thin">
          <color indexed="64"/>
        </right>
      </border>
    </dxf>
  </rfmt>
  <rfmt sheetId="31" sqref="C39" start="0" length="0">
    <dxf>
      <alignment horizontal="center" vertical="center" wrapText="1" readingOrder="0"/>
      <border outline="0">
        <left style="thin">
          <color indexed="64"/>
        </left>
      </border>
    </dxf>
  </rfmt>
  <rfmt sheetId="31" sqref="D39" start="0" length="0">
    <dxf>
      <alignment horizontal="center" vertical="center" wrapText="1" readingOrder="0"/>
      <border outline="0">
        <right style="thin">
          <color indexed="64"/>
        </right>
      </border>
    </dxf>
  </rfmt>
  <rfmt sheetId="31" sqref="E39"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9" start="0" length="0">
    <dxf>
      <font>
        <sz val="12"/>
        <color auto="1"/>
        <name val="Arial"/>
        <scheme val="none"/>
      </font>
      <alignment horizontal="center" vertical="center" wrapText="1" readingOrder="0"/>
      <border outline="0">
        <left style="thin">
          <color indexed="64"/>
        </left>
        <right style="thin">
          <color indexed="64"/>
        </right>
      </border>
    </dxf>
  </rfmt>
  <rcc rId="8741" sId="31" odxf="1" dxf="1">
    <nc r="G39"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9"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9"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42" sId="31" odxf="1" dxf="1" numFmtId="4">
    <nc r="J39">
      <v>124.3</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39"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43" sId="31" odxf="1" dxf="1" numFmtId="4">
    <nc r="L39">
      <v>194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4" sId="31" odxf="1" dxf="1" numFmtId="4">
    <nc r="N39">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5" sId="31" odxf="1" dxf="1">
    <nc r="P39">
      <v>230</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0" start="0" length="0">
    <dxf>
      <font>
        <b/>
        <sz val="12"/>
        <color auto="1"/>
        <name val="Arial"/>
        <scheme val="none"/>
      </font>
      <alignment horizontal="center" vertical="center" wrapText="1" readingOrder="0"/>
      <border outline="0">
        <left style="thin">
          <color indexed="64"/>
        </left>
        <bottom style="thin">
          <color indexed="64"/>
        </bottom>
      </border>
    </dxf>
  </rfmt>
  <rfmt sheetId="31" sqref="B40" start="0" length="0">
    <dxf>
      <font>
        <b/>
        <sz val="12"/>
        <color auto="1"/>
        <name val="Arial"/>
        <scheme val="none"/>
      </font>
      <alignment horizontal="center" vertical="center" wrapText="1" readingOrder="0"/>
      <border outline="0">
        <right style="thin">
          <color indexed="64"/>
        </right>
        <bottom style="thin">
          <color indexed="64"/>
        </bottom>
      </border>
    </dxf>
  </rfmt>
  <rfmt sheetId="31" sqref="C40" start="0" length="0">
    <dxf>
      <alignment horizontal="center" vertical="center" wrapText="1" readingOrder="0"/>
      <border outline="0">
        <left style="thin">
          <color indexed="64"/>
        </left>
      </border>
    </dxf>
  </rfmt>
  <rfmt sheetId="31" sqref="D40" start="0" length="0">
    <dxf>
      <alignment horizontal="center" vertical="center" wrapText="1" readingOrder="0"/>
      <border outline="0">
        <right style="thin">
          <color indexed="64"/>
        </right>
      </border>
    </dxf>
  </rfmt>
  <rfmt sheetId="31" sqref="E40"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0" start="0" length="0">
    <dxf>
      <font>
        <sz val="12"/>
        <color auto="1"/>
        <name val="Arial"/>
        <scheme val="none"/>
      </font>
      <alignment horizontal="center" vertical="center" wrapText="1" readingOrder="0"/>
      <border outline="0">
        <left style="thin">
          <color indexed="64"/>
        </left>
        <right style="thin">
          <color indexed="64"/>
        </right>
      </border>
    </dxf>
  </rfmt>
  <rcc rId="8746" sId="31" odxf="1" dxf="1">
    <nc r="G40"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0"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0"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47" sId="31" odxf="1" dxf="1" numFmtId="4">
    <nc r="J40">
      <v>135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48" sId="31" odxf="1" dxf="1" numFmtId="4">
    <nc r="L40">
      <v>202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9" sId="31" odxf="1" dxf="1" numFmtId="4">
    <nc r="N40">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50" sId="31" odxf="1" dxf="1">
    <nc r="P40">
      <v>222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51" sId="31" odxf="1" dxf="1">
    <nc r="A41" t="inlineStr">
      <is>
        <t>Молдинг</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1" start="0" length="0">
    <dxf>
      <font>
        <b/>
        <sz val="12"/>
        <color auto="1"/>
        <name val="Arial"/>
        <scheme val="none"/>
      </font>
      <alignment horizontal="center" vertical="center" wrapText="1" readingOrder="0"/>
      <border outline="0">
        <right style="thin">
          <color indexed="64"/>
        </right>
        <top style="thin">
          <color indexed="64"/>
        </top>
      </border>
    </dxf>
  </rfmt>
  <rfmt sheetId="31" sqref="C41" start="0" length="0">
    <dxf>
      <alignment horizontal="center" vertical="center" wrapText="1" readingOrder="0"/>
      <border outline="0">
        <left style="thin">
          <color indexed="64"/>
        </left>
        <top style="thin">
          <color indexed="64"/>
        </top>
      </border>
    </dxf>
  </rfmt>
  <rfmt sheetId="31" sqref="D41" start="0" length="0">
    <dxf>
      <alignment horizontal="center" vertical="center" wrapText="1" readingOrder="0"/>
      <border outline="0">
        <right style="thin">
          <color indexed="64"/>
        </right>
        <top style="thin">
          <color indexed="64"/>
        </top>
      </border>
    </dxf>
  </rfmt>
  <rcc rId="8752" sId="31" odxf="1" dxf="1" numFmtId="4">
    <nc r="E41">
      <v>3</v>
    </nc>
    <odxf>
      <font>
        <sz val="11"/>
        <color theme="1"/>
        <name val="Calibri"/>
        <scheme val="minor"/>
      </font>
      <numFmt numFmtId="0" formatCode="General"/>
      <alignment horizontal="general" vertical="bottom" wrapText="0" readingOrder="0"/>
      <border outline="0">
        <right/>
        <top/>
      </border>
    </odxf>
    <ndxf>
      <font>
        <sz val="12"/>
        <color auto="1"/>
        <name val="Arial"/>
        <scheme val="none"/>
      </font>
      <numFmt numFmtId="2" formatCode="0.00"/>
      <alignment horizontal="center" vertical="center" wrapText="1" readingOrder="0"/>
      <border outline="0">
        <right style="thin">
          <color indexed="64"/>
        </right>
        <top style="thin">
          <color indexed="64"/>
        </top>
      </border>
    </ndxf>
  </rcc>
  <rcc rId="8753" sId="31" odxf="1" dxf="1">
    <nc r="F41">
      <v>36</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54" sId="31" odxf="1" dxf="1">
    <nc r="G41" t="inlineStr">
      <is>
        <t>белый</t>
      </is>
    </nc>
    <odxf>
      <font>
        <sz val="11"/>
        <color theme="1"/>
        <name val="Calibri"/>
        <scheme val="minor"/>
      </font>
      <alignment horizontal="general" vertical="bottom" readingOrder="0"/>
      <border outline="0">
        <left/>
        <right/>
        <top/>
      </border>
    </odxf>
    <ndxf>
      <font>
        <sz val="12"/>
        <color auto="1"/>
        <name val="Arial Cyr"/>
        <scheme val="none"/>
      </font>
      <alignment horizontal="center" vertical="center" readingOrder="0"/>
      <border outline="0">
        <left style="thin">
          <color indexed="64"/>
        </left>
        <right style="thin">
          <color indexed="64"/>
        </right>
        <top style="thin">
          <color indexed="64"/>
        </top>
      </border>
    </ndxf>
  </rcc>
  <rfmt sheetId="31" sqref="H41"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1"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55" sId="31" odxf="1" dxf="1" numFmtId="4">
    <nc r="J41">
      <v>270</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1"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56" sId="31" odxf="1" dxf="1" numFmtId="4">
    <nc r="L41">
      <v>404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57" sId="31" odxf="1" dxf="1" numFmtId="4">
    <nc r="N41">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58" sId="31" odxf="1" dxf="1">
    <nc r="P41">
      <v>457</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2" start="0" length="0">
    <dxf>
      <font>
        <b/>
        <sz val="12"/>
        <color auto="1"/>
        <name val="Arial"/>
        <scheme val="none"/>
      </font>
      <alignment horizontal="center" vertical="center" wrapText="1" readingOrder="0"/>
      <border outline="0">
        <left style="thin">
          <color indexed="64"/>
        </left>
      </border>
    </dxf>
  </rfmt>
  <rfmt sheetId="31" sqref="B42" start="0" length="0">
    <dxf>
      <font>
        <b/>
        <sz val="12"/>
        <color auto="1"/>
        <name val="Arial"/>
        <scheme val="none"/>
      </font>
      <alignment horizontal="center" vertical="center" wrapText="1" readingOrder="0"/>
      <border outline="0">
        <right style="thin">
          <color indexed="64"/>
        </right>
      </border>
    </dxf>
  </rfmt>
  <rfmt sheetId="31" sqref="C42" start="0" length="0">
    <dxf>
      <alignment horizontal="center" vertical="center" wrapText="1" readingOrder="0"/>
      <border outline="0">
        <left style="thin">
          <color indexed="64"/>
        </left>
        <bottom style="thin">
          <color indexed="64"/>
        </bottom>
      </border>
    </dxf>
  </rfmt>
  <rfmt sheetId="31" sqref="D42" start="0" length="0">
    <dxf>
      <alignment horizontal="center" vertical="center" wrapText="1" readingOrder="0"/>
      <border outline="0">
        <right style="thin">
          <color indexed="64"/>
        </right>
        <bottom style="thin">
          <color indexed="64"/>
        </bottom>
      </border>
    </dxf>
  </rfmt>
  <rfmt sheetId="31" sqref="E42" start="0" length="0">
    <dxf>
      <font>
        <sz val="12"/>
        <color auto="1"/>
        <name val="Arial"/>
        <scheme val="none"/>
      </font>
      <numFmt numFmtId="2" formatCode="0.00"/>
      <alignment horizontal="center" vertical="center" wrapText="1" readingOrder="0"/>
      <border outline="0">
        <right style="thin">
          <color indexed="64"/>
        </right>
        <bottom style="thin">
          <color indexed="64"/>
        </bottom>
      </border>
    </dxf>
  </rfmt>
  <rfmt sheetId="31" sqref="F42" start="0" length="0">
    <dxf>
      <font>
        <sz val="12"/>
        <color auto="1"/>
        <name val="Arial"/>
        <scheme val="none"/>
      </font>
      <alignment horizontal="center" vertical="center" wrapText="1" readingOrder="0"/>
      <border outline="0">
        <left style="thin">
          <color indexed="64"/>
        </left>
        <right style="thin">
          <color indexed="64"/>
        </right>
        <bottom style="thin">
          <color indexed="64"/>
        </bottom>
      </border>
    </dxf>
  </rfmt>
  <rcc rId="8759" sId="31" odxf="1" dxf="1">
    <nc r="G42" t="inlineStr">
      <is>
        <t>коричневый</t>
      </is>
    </nc>
    <odxf>
      <font>
        <sz val="11"/>
        <color theme="1"/>
        <name val="Calibri"/>
        <scheme val="minor"/>
      </font>
      <alignment horizontal="general" vertical="bottom" readingOrder="0"/>
      <border outline="0">
        <left/>
        <right/>
        <top/>
        <bottom/>
      </border>
    </odxf>
    <ndxf>
      <font>
        <sz val="12"/>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H42"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2"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60" sId="31" odxf="1" dxf="1" numFmtId="4">
    <nc r="J42">
      <v>325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61" sId="31" odxf="1" dxf="1" numFmtId="4">
    <nc r="L42">
      <v>485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62" sId="31" odxf="1" dxf="1" numFmtId="4">
    <nc r="N42">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63" sId="31" odxf="1" dxf="1">
    <nc r="P42">
      <v>476</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64" sId="31" odxf="1" dxf="1">
    <nc r="A43" t="inlineStr">
      <is>
        <t>Окантовочная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3" start="0" length="0">
    <dxf>
      <font>
        <b/>
        <sz val="12"/>
        <color auto="1"/>
        <name val="Arial"/>
        <scheme val="none"/>
      </font>
      <alignment horizontal="center" vertical="center" wrapText="1" readingOrder="0"/>
      <border outline="0">
        <right style="thin">
          <color indexed="64"/>
        </right>
        <top style="thin">
          <color indexed="64"/>
        </top>
      </border>
    </dxf>
  </rfmt>
  <rfmt sheetId="31" sqref="C43" start="0" length="0">
    <dxf>
      <alignment horizontal="center" vertical="center" wrapText="1" readingOrder="0"/>
      <border outline="0">
        <left style="thin">
          <color indexed="64"/>
        </left>
        <bottom style="thin">
          <color indexed="64"/>
        </bottom>
      </border>
    </dxf>
  </rfmt>
  <rfmt sheetId="31" sqref="D43" start="0" length="0">
    <dxf>
      <alignment horizontal="center" vertical="center" wrapText="1" readingOrder="0"/>
      <border outline="0">
        <right style="thin">
          <color indexed="64"/>
        </right>
        <bottom style="thin">
          <color indexed="64"/>
        </bottom>
      </border>
    </dxf>
  </rfmt>
  <rcc rId="8765" sId="31" odxf="1" dxf="1" numFmtId="4">
    <nc r="E43">
      <v>3</v>
    </nc>
    <odxf>
      <font>
        <sz val="11"/>
        <color theme="1"/>
        <name val="Calibri"/>
        <scheme val="minor"/>
      </font>
      <numFmt numFmtId="0" formatCode="General"/>
      <alignment horizontal="general" vertical="bottom" wrapText="0" readingOrder="0"/>
      <border outline="0">
        <left/>
        <right/>
      </border>
    </odxf>
    <ndxf>
      <font>
        <sz val="12"/>
        <color auto="1"/>
        <name val="Arial"/>
        <scheme val="none"/>
      </font>
      <numFmt numFmtId="2" formatCode="0.00"/>
      <alignment horizontal="center" vertical="center" wrapText="1" readingOrder="0"/>
      <border outline="0">
        <left style="thin">
          <color indexed="64"/>
        </left>
        <right style="thin">
          <color indexed="64"/>
        </right>
      </border>
    </ndxf>
  </rcc>
  <rcc rId="8766" sId="31" odxf="1" dxf="1">
    <nc r="F43">
      <v>50</v>
    </nc>
    <odxf>
      <font>
        <sz val="11"/>
        <color theme="1"/>
        <name val="Calibri"/>
        <scheme val="minor"/>
      </font>
      <alignment horizontal="general" vertical="bottom" wrapText="0" readingOrder="0"/>
      <border outline="0">
        <left/>
        <right/>
      </border>
    </odxf>
    <ndxf>
      <font>
        <sz val="12"/>
        <color auto="1"/>
        <name val="Arial"/>
        <scheme val="none"/>
      </font>
      <alignment horizontal="center" vertical="center" wrapText="1" readingOrder="0"/>
      <border outline="0">
        <left style="thin">
          <color indexed="64"/>
        </left>
        <right style="thin">
          <color indexed="64"/>
        </right>
      </border>
    </ndxf>
  </rcc>
  <rcc rId="8767" sId="31" odxf="1" dxf="1">
    <nc r="G43" t="inlineStr">
      <is>
        <t>белый, бежевый, ванильный, салатовый</t>
      </is>
    </nc>
    <odxf>
      <font>
        <sz val="11"/>
        <color theme="1"/>
        <name val="Calibri"/>
        <scheme val="minor"/>
      </font>
      <numFmt numFmtId="0" formatCode="General"/>
      <alignment horizontal="general" vertical="bottom" wrapText="0" readingOrder="0"/>
      <border outline="0">
        <left/>
      </border>
    </odxf>
    <ndxf>
      <font>
        <sz val="11"/>
        <color auto="1"/>
        <name val="Arial"/>
        <scheme val="none"/>
      </font>
      <numFmt numFmtId="1" formatCode="0"/>
      <alignment horizontal="center" vertical="center" wrapText="1" readingOrder="0"/>
      <border outline="0">
        <left style="thin">
          <color indexed="64"/>
        </left>
      </border>
    </ndxf>
  </rcc>
  <rfmt sheetId="31" sqref="H43"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3"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68" sId="31" odxf="1" dxf="1" numFmtId="4">
    <nc r="J43">
      <v>250</v>
    </nc>
    <odxf>
      <font>
        <sz val="11"/>
        <color theme="1"/>
        <name val="Calibri"/>
        <scheme val="minor"/>
      </font>
      <numFmt numFmtId="0" formatCode="General"/>
      <alignment horizontal="general" vertical="bottom" readingOrder="0"/>
      <border outline="0">
        <left/>
        <bottom/>
      </border>
    </odxf>
    <ndxf>
      <font>
        <sz val="13"/>
        <color auto="1"/>
        <name val="Arial Cyr"/>
        <scheme val="none"/>
      </font>
      <numFmt numFmtId="4" formatCode="#,##0.00"/>
      <alignment horizontal="center" vertical="center" readingOrder="0"/>
      <border outline="0">
        <left style="thin">
          <color indexed="64"/>
        </left>
        <bottom style="thin">
          <color indexed="64"/>
        </bottom>
      </border>
    </ndxf>
  </rcc>
  <rfmt sheetId="31" sqref="K43" start="0" length="0">
    <dxf>
      <font>
        <sz val="13"/>
        <color auto="1"/>
        <name val="Arial Cyr"/>
        <scheme val="none"/>
      </font>
      <numFmt numFmtId="4" formatCode="#,##0.00"/>
      <alignment horizontal="center" vertical="center" readingOrder="0"/>
      <border outline="0">
        <right style="thin">
          <color indexed="64"/>
        </right>
        <bottom style="thin">
          <color indexed="64"/>
        </bottom>
      </border>
    </dxf>
  </rfmt>
  <rcc rId="8769" sId="31" odxf="1" dxf="1" numFmtId="4">
    <nc r="L43">
      <v>300</v>
    </nc>
    <odxf>
      <font>
        <sz val="11"/>
        <color theme="1"/>
        <name val="Calibri"/>
        <scheme val="minor"/>
      </font>
      <numFmt numFmtId="0" formatCode="General"/>
      <alignment horizontal="general" vertical="bottom" readingOrder="0"/>
      <border outline="0">
        <left/>
        <bottom/>
      </border>
    </odxf>
    <ndxf>
      <font>
        <sz val="13"/>
        <color auto="1"/>
        <name val="Arial"/>
        <scheme val="none"/>
      </font>
      <numFmt numFmtId="3" formatCode="#,##0"/>
      <alignment horizontal="center" vertical="center" readingOrder="0"/>
      <border outline="0">
        <left style="thin">
          <color indexed="64"/>
        </left>
        <bottom style="thin">
          <color indexed="64"/>
        </bottom>
      </border>
    </ndxf>
  </rcc>
  <rfmt sheetId="31" sqref="M43" start="0" length="0">
    <dxf>
      <font>
        <sz val="13"/>
        <color auto="1"/>
        <name val="Arial"/>
        <scheme val="none"/>
      </font>
      <numFmt numFmtId="3" formatCode="#,##0"/>
      <alignment horizontal="center" vertical="center" readingOrder="0"/>
      <border outline="0">
        <right style="thin">
          <color indexed="64"/>
        </right>
        <bottom style="thin">
          <color indexed="64"/>
        </bottom>
      </border>
    </dxf>
  </rfmt>
  <rcc rId="8770" sId="31" odxf="1" dxf="1" numFmtId="4">
    <nc r="N43">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71" sId="31" odxf="1" dxf="1">
    <nc r="P43">
      <v>354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72" sId="31" odxf="1" dxf="1">
    <nc r="A44" t="inlineStr">
      <is>
        <t>Стартовая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4" start="0" length="0">
    <dxf>
      <font>
        <b/>
        <sz val="12"/>
        <color auto="1"/>
        <name val="Arial"/>
        <scheme val="none"/>
      </font>
      <alignment horizontal="center" vertical="center" wrapText="1" readingOrder="0"/>
      <border outline="0">
        <right style="thin">
          <color indexed="64"/>
        </right>
        <top style="thin">
          <color indexed="64"/>
        </top>
      </border>
    </dxf>
  </rfmt>
  <rfmt sheetId="31" sqref="C44" start="0" length="0">
    <dxf>
      <font>
        <sz val="8"/>
        <color auto="1"/>
        <name val="Arial"/>
        <scheme val="none"/>
      </font>
      <alignment horizontal="center" vertical="center" wrapText="1" readingOrder="0"/>
      <border outline="0">
        <left style="thin">
          <color indexed="64"/>
        </left>
        <top style="thin">
          <color indexed="64"/>
        </top>
        <bottom style="thin">
          <color indexed="64"/>
        </bottom>
      </border>
    </dxf>
  </rfmt>
  <rfmt sheetId="31" sqref="D44" start="0" length="0">
    <dxf>
      <font>
        <sz val="8"/>
        <color auto="1"/>
        <name val="Arial"/>
        <scheme val="none"/>
      </font>
      <alignment horizontal="center" vertical="center" wrapText="1" readingOrder="0"/>
      <border outline="0">
        <right style="thin">
          <color indexed="64"/>
        </right>
        <top style="thin">
          <color indexed="64"/>
        </top>
        <bottom style="thin">
          <color indexed="64"/>
        </bottom>
      </border>
    </dxf>
  </rfmt>
  <rcc rId="8773" sId="31" odxf="1" dxf="1" numFmtId="4">
    <nc r="E44">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74" sId="31" odxf="1" dxf="1">
    <nc r="F44">
      <v>40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75" sId="31" odxf="1" dxf="1">
    <nc r="G44" t="inlineStr">
      <is>
        <t>белый</t>
      </is>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fmt sheetId="31" sqref="H44"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4"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76" sId="31" odxf="1" dxf="1" numFmtId="4">
    <nc r="J44">
      <v>109</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4"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77" sId="31" odxf="1" dxf="1" numFmtId="4">
    <nc r="L44">
      <v>164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78" sId="31" odxf="1" dxf="1" numFmtId="4">
    <nc r="N44">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79" sId="31" odxf="1" dxf="1">
    <nc r="P44">
      <v>194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4"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80" sId="31" odxf="1" dxf="1">
    <nc r="A45" t="inlineStr">
      <is>
        <t>Внешний угол</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5" start="0" length="0">
    <dxf>
      <font>
        <b/>
        <sz val="12"/>
        <color auto="1"/>
        <name val="Arial"/>
        <scheme val="none"/>
      </font>
      <alignment horizontal="center" vertical="center" wrapText="1" readingOrder="0"/>
      <border outline="0">
        <right style="thin">
          <color indexed="64"/>
        </right>
        <top style="thin">
          <color indexed="64"/>
        </top>
      </border>
    </dxf>
  </rfmt>
  <rfmt sheetId="31" sqref="C45" start="0" length="0">
    <dxf>
      <font>
        <sz val="8"/>
        <color auto="1"/>
        <name val="Arial"/>
        <scheme val="none"/>
      </font>
      <alignment horizontal="center" vertical="center" wrapText="1" readingOrder="0"/>
      <border outline="0">
        <left style="thin">
          <color indexed="64"/>
        </left>
        <top style="thin">
          <color indexed="64"/>
        </top>
      </border>
    </dxf>
  </rfmt>
  <rfmt sheetId="31" sqref="D45" start="0" length="0">
    <dxf>
      <font>
        <sz val="8"/>
        <color auto="1"/>
        <name val="Arial"/>
        <scheme val="none"/>
      </font>
      <alignment horizontal="center" vertical="center" wrapText="1" readingOrder="0"/>
      <border outline="0">
        <right style="thin">
          <color indexed="64"/>
        </right>
        <top style="thin">
          <color indexed="64"/>
        </top>
      </border>
    </dxf>
  </rfmt>
  <rcc rId="8781" sId="31" odxf="1" dxf="1" numFmtId="4">
    <nc r="E45">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82" sId="31" odxf="1" dxf="1">
    <nc r="F45">
      <v>10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83" sId="31" odxf="1" dxf="1">
    <nc r="G45"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5"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5"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84" sId="31" odxf="1" dxf="1" numFmtId="4">
    <nc r="J45">
      <v>386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85" sId="31" odxf="1" dxf="1" numFmtId="4">
    <nc r="L45">
      <v>576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86" sId="31" odxf="1" dxf="1" numFmtId="4">
    <nc r="N45">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87" sId="31" odxf="1" dxf="1">
    <nc r="P45">
      <v>680</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6" start="0" length="0">
    <dxf>
      <font>
        <b/>
        <sz val="12"/>
        <color auto="1"/>
        <name val="Arial"/>
        <scheme val="none"/>
      </font>
      <alignment horizontal="center" vertical="center" wrapText="1" readingOrder="0"/>
      <border outline="0">
        <left style="thin">
          <color indexed="64"/>
        </left>
      </border>
    </dxf>
  </rfmt>
  <rfmt sheetId="31" sqref="B46" start="0" length="0">
    <dxf>
      <font>
        <b/>
        <sz val="12"/>
        <color auto="1"/>
        <name val="Arial"/>
        <scheme val="none"/>
      </font>
      <alignment horizontal="center" vertical="center" wrapText="1" readingOrder="0"/>
      <border outline="0">
        <right style="thin">
          <color indexed="64"/>
        </right>
      </border>
    </dxf>
  </rfmt>
  <rfmt sheetId="31" sqref="C46" start="0" length="0">
    <dxf>
      <font>
        <sz val="8"/>
        <color auto="1"/>
        <name val="Arial"/>
        <scheme val="none"/>
      </font>
      <alignment horizontal="center" vertical="center" wrapText="1" readingOrder="0"/>
      <border outline="0">
        <left style="thin">
          <color indexed="64"/>
        </left>
      </border>
    </dxf>
  </rfmt>
  <rfmt sheetId="31" sqref="D46" start="0" length="0">
    <dxf>
      <font>
        <sz val="8"/>
        <color auto="1"/>
        <name val="Arial"/>
        <scheme val="none"/>
      </font>
      <alignment horizontal="center" vertical="center" wrapText="1" readingOrder="0"/>
      <border outline="0">
        <right style="thin">
          <color indexed="64"/>
        </right>
      </border>
    </dxf>
  </rfmt>
  <rfmt sheetId="31" sqref="E46"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6" start="0" length="0">
    <dxf>
      <font>
        <sz val="12"/>
        <color auto="1"/>
        <name val="Arial"/>
        <scheme val="none"/>
      </font>
      <alignment horizontal="center" vertical="center" wrapText="1" readingOrder="0"/>
      <border outline="0">
        <left style="thin">
          <color indexed="64"/>
        </left>
        <right style="thin">
          <color indexed="64"/>
        </right>
      </border>
    </dxf>
  </rfmt>
  <rcc rId="8788" sId="31" odxf="1" dxf="1">
    <nc r="G46"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6"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6"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89" sId="31" odxf="1" dxf="1" numFmtId="4">
    <nc r="J46">
      <v>424.6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90" sId="31" odxf="1" dxf="1" numFmtId="4">
    <nc r="L46">
      <v>664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1" sId="31" odxf="1" dxf="1" numFmtId="4">
    <nc r="N46">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2" sId="31" odxf="1" dxf="1">
    <nc r="P46">
      <v>784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7" start="0" length="0">
    <dxf>
      <font>
        <b/>
        <sz val="12"/>
        <color auto="1"/>
        <name val="Arial"/>
        <scheme val="none"/>
      </font>
      <alignment horizontal="center" vertical="center" wrapText="1" readingOrder="0"/>
      <border outline="0">
        <left style="thin">
          <color indexed="64"/>
        </left>
        <bottom style="thin">
          <color indexed="64"/>
        </bottom>
      </border>
    </dxf>
  </rfmt>
  <rfmt sheetId="31" sqref="B47" start="0" length="0">
    <dxf>
      <font>
        <b/>
        <sz val="12"/>
        <color auto="1"/>
        <name val="Arial"/>
        <scheme val="none"/>
      </font>
      <alignment horizontal="center" vertical="center" wrapText="1" readingOrder="0"/>
      <border outline="0">
        <right style="thin">
          <color indexed="64"/>
        </right>
        <bottom style="thin">
          <color indexed="64"/>
        </bottom>
      </border>
    </dxf>
  </rfmt>
  <rfmt sheetId="31" sqref="C47" start="0" length="0">
    <dxf>
      <font>
        <sz val="8"/>
        <color auto="1"/>
        <name val="Arial"/>
        <scheme val="none"/>
      </font>
      <alignment horizontal="center" vertical="center" wrapText="1" readingOrder="0"/>
      <border outline="0">
        <left style="thin">
          <color indexed="64"/>
        </left>
      </border>
    </dxf>
  </rfmt>
  <rfmt sheetId="31" sqref="D47" start="0" length="0">
    <dxf>
      <font>
        <sz val="8"/>
        <color auto="1"/>
        <name val="Arial"/>
        <scheme val="none"/>
      </font>
      <alignment horizontal="center" vertical="center" wrapText="1" readingOrder="0"/>
      <border outline="0">
        <right style="thin">
          <color indexed="64"/>
        </right>
      </border>
    </dxf>
  </rfmt>
  <rfmt sheetId="31" sqref="E47"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7" start="0" length="0">
    <dxf>
      <font>
        <sz val="12"/>
        <color auto="1"/>
        <name val="Arial"/>
        <scheme val="none"/>
      </font>
      <alignment horizontal="center" vertical="center" wrapText="1" readingOrder="0"/>
      <border outline="0">
        <left style="thin">
          <color indexed="64"/>
        </left>
        <right style="thin">
          <color indexed="64"/>
        </right>
      </border>
    </dxf>
  </rfmt>
  <rcc rId="8793" sId="31" odxf="1" dxf="1">
    <nc r="G47"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7"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7"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94" sId="31" odxf="1" dxf="1" numFmtId="4">
    <nc r="J47">
      <v>455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95" sId="31" odxf="1" dxf="1" numFmtId="4">
    <nc r="L47">
      <v>679</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6" sId="31" odxf="1" dxf="1" numFmtId="4">
    <nc r="N47">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7" sId="31" odxf="1" dxf="1">
    <nc r="P47">
      <v>723</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98" sId="31" odxf="1" dxf="1">
    <nc r="A48" t="inlineStr">
      <is>
        <t>Внутренний угол</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8" start="0" length="0">
    <dxf>
      <font>
        <b/>
        <sz val="12"/>
        <color auto="1"/>
        <name val="Arial"/>
        <scheme val="none"/>
      </font>
      <alignment horizontal="center" vertical="center" wrapText="1" readingOrder="0"/>
      <border outline="0">
        <right style="thin">
          <color indexed="64"/>
        </right>
        <top style="thin">
          <color indexed="64"/>
        </top>
      </border>
    </dxf>
  </rfmt>
  <rfmt sheetId="31" sqref="C48" start="0" length="0">
    <dxf>
      <font>
        <sz val="8"/>
        <color auto="1"/>
        <name val="Arial"/>
        <scheme val="none"/>
      </font>
      <alignment horizontal="center" vertical="center" wrapText="1" readingOrder="0"/>
      <border outline="0">
        <left style="thin">
          <color indexed="64"/>
        </left>
        <top style="thin">
          <color indexed="64"/>
        </top>
      </border>
    </dxf>
  </rfmt>
  <rfmt sheetId="31" sqref="D48" start="0" length="0">
    <dxf>
      <font>
        <sz val="8"/>
        <color auto="1"/>
        <name val="Arial"/>
        <scheme val="none"/>
      </font>
      <alignment horizontal="center" vertical="center" wrapText="1" readingOrder="0"/>
      <border outline="0">
        <right style="thin">
          <color indexed="64"/>
        </right>
        <top style="thin">
          <color indexed="64"/>
        </top>
      </border>
    </dxf>
  </rfmt>
  <rcc rId="8799" sId="31" odxf="1" dxf="1" numFmtId="4">
    <nc r="E48">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00" sId="31" odxf="1" dxf="1">
    <nc r="F48">
      <v>20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801" sId="31" odxf="1" dxf="1">
    <nc r="G48"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8"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8"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02" sId="31" odxf="1" dxf="1" numFmtId="4">
    <nc r="J48">
      <v>340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8"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03" sId="31" odxf="1" dxf="1" numFmtId="4">
    <nc r="L48">
      <v>507</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04" sId="31" odxf="1" dxf="1" numFmtId="4">
    <nc r="N48">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05" sId="31" odxf="1" dxf="1">
    <nc r="P48">
      <v>599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9" start="0" length="0">
    <dxf>
      <font>
        <b/>
        <sz val="12"/>
        <color auto="1"/>
        <name val="Arial"/>
        <scheme val="none"/>
      </font>
      <alignment horizontal="center" vertical="center" wrapText="1" readingOrder="0"/>
      <border outline="0">
        <left style="thin">
          <color indexed="64"/>
        </left>
      </border>
    </dxf>
  </rfmt>
  <rfmt sheetId="31" sqref="B49" start="0" length="0">
    <dxf>
      <font>
        <b/>
        <sz val="12"/>
        <color auto="1"/>
        <name val="Arial"/>
        <scheme val="none"/>
      </font>
      <alignment horizontal="center" vertical="center" wrapText="1" readingOrder="0"/>
      <border outline="0">
        <right style="thin">
          <color indexed="64"/>
        </right>
      </border>
    </dxf>
  </rfmt>
  <rfmt sheetId="31" sqref="C49" start="0" length="0">
    <dxf>
      <font>
        <sz val="8"/>
        <color auto="1"/>
        <name val="Arial"/>
        <scheme val="none"/>
      </font>
      <alignment horizontal="center" vertical="center" wrapText="1" readingOrder="0"/>
      <border outline="0">
        <left style="thin">
          <color indexed="64"/>
        </left>
      </border>
    </dxf>
  </rfmt>
  <rfmt sheetId="31" sqref="D49" start="0" length="0">
    <dxf>
      <font>
        <sz val="8"/>
        <color auto="1"/>
        <name val="Arial"/>
        <scheme val="none"/>
      </font>
      <alignment horizontal="center" vertical="center" wrapText="1" readingOrder="0"/>
      <border outline="0">
        <right style="thin">
          <color indexed="64"/>
        </right>
      </border>
    </dxf>
  </rfmt>
  <rfmt sheetId="31" sqref="E49"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9" start="0" length="0">
    <dxf>
      <font>
        <sz val="12"/>
        <color auto="1"/>
        <name val="Arial"/>
        <scheme val="none"/>
      </font>
      <alignment horizontal="center" vertical="center" wrapText="1" readingOrder="0"/>
      <border outline="0">
        <left style="thin">
          <color indexed="64"/>
        </left>
        <right style="thin">
          <color indexed="64"/>
        </right>
      </border>
    </dxf>
  </rfmt>
  <rcc rId="8806" sId="31" odxf="1" dxf="1">
    <nc r="G49"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9"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9"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07" sId="31" odxf="1" dxf="1" numFmtId="4">
    <nc r="J49">
      <v>374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9"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08" sId="31" odxf="1" dxf="1" numFmtId="4">
    <nc r="L49">
      <v>585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09" sId="31" odxf="1" dxf="1" numFmtId="4">
    <nc r="N49">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10" sId="31" odxf="1" dxf="1">
    <nc r="P49">
      <v>691</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50" start="0" length="0">
    <dxf>
      <font>
        <b/>
        <sz val="12"/>
        <color auto="1"/>
        <name val="Arial"/>
        <scheme val="none"/>
      </font>
      <alignment horizontal="center" vertical="center" wrapText="1" readingOrder="0"/>
      <border outline="0">
        <left style="thin">
          <color indexed="64"/>
        </left>
        <bottom style="thin">
          <color indexed="64"/>
        </bottom>
      </border>
    </dxf>
  </rfmt>
  <rfmt sheetId="31" sqref="B50" start="0" length="0">
    <dxf>
      <font>
        <b/>
        <sz val="12"/>
        <color auto="1"/>
        <name val="Arial"/>
        <scheme val="none"/>
      </font>
      <alignment horizontal="center" vertical="center" wrapText="1" readingOrder="0"/>
      <border outline="0">
        <right style="thin">
          <color indexed="64"/>
        </right>
        <bottom style="thin">
          <color indexed="64"/>
        </bottom>
      </border>
    </dxf>
  </rfmt>
  <rfmt sheetId="31" sqref="C50" start="0" length="0">
    <dxf>
      <font>
        <sz val="8"/>
        <color auto="1"/>
        <name val="Arial"/>
        <scheme val="none"/>
      </font>
      <alignment horizontal="center" vertical="center" wrapText="1" readingOrder="0"/>
      <border outline="0">
        <left style="thin">
          <color indexed="64"/>
        </left>
      </border>
    </dxf>
  </rfmt>
  <rfmt sheetId="31" sqref="D50" start="0" length="0">
    <dxf>
      <font>
        <sz val="8"/>
        <color auto="1"/>
        <name val="Arial"/>
        <scheme val="none"/>
      </font>
      <alignment horizontal="center" vertical="center" wrapText="1" readingOrder="0"/>
      <border outline="0">
        <right style="thin">
          <color indexed="64"/>
        </right>
      </border>
    </dxf>
  </rfmt>
  <rfmt sheetId="31" sqref="E50"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50" start="0" length="0">
    <dxf>
      <font>
        <sz val="12"/>
        <color auto="1"/>
        <name val="Arial"/>
        <scheme val="none"/>
      </font>
      <alignment horizontal="center" vertical="center" wrapText="1" readingOrder="0"/>
      <border outline="0">
        <left style="thin">
          <color indexed="64"/>
        </left>
        <right style="thin">
          <color indexed="64"/>
        </right>
      </border>
    </dxf>
  </rfmt>
  <rcc rId="8811" sId="31" odxf="1" dxf="1">
    <nc r="G50"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0"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0"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12" sId="31" odxf="1" dxf="1" numFmtId="4">
    <nc r="J50">
      <v>405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5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813" sId="31" odxf="1" dxf="1" numFmtId="4">
    <nc r="L50">
      <v>605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14" sId="31" odxf="1" dxf="1" numFmtId="4">
    <nc r="N50">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15" sId="31" odxf="1" dxf="1">
    <nc r="P50">
      <v>645</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816" sId="31" odxf="1" dxf="1">
    <nc r="A51" t="inlineStr">
      <is>
        <t xml:space="preserve">J-фаска (ветровая доска) </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51" start="0" length="0">
    <dxf>
      <font>
        <b/>
        <sz val="12"/>
        <color auto="1"/>
        <name val="Arial"/>
        <scheme val="none"/>
      </font>
      <alignment horizontal="center" vertical="center" wrapText="1" readingOrder="0"/>
      <border outline="0">
        <right style="thin">
          <color indexed="64"/>
        </right>
        <top style="thin">
          <color indexed="64"/>
        </top>
      </border>
    </dxf>
  </rfmt>
  <rfmt sheetId="31" sqref="C51" start="0" length="0">
    <dxf>
      <font>
        <sz val="8"/>
        <color auto="1"/>
        <name val="Arial"/>
        <scheme val="none"/>
      </font>
      <alignment horizontal="left" vertical="center" wrapText="1" readingOrder="0"/>
      <border outline="0">
        <left style="thin">
          <color indexed="64"/>
        </left>
        <top style="thin">
          <color indexed="64"/>
        </top>
      </border>
    </dxf>
  </rfmt>
  <rfmt sheetId="31" sqref="D51" start="0" length="0">
    <dxf>
      <font>
        <sz val="8"/>
        <color auto="1"/>
        <name val="Arial"/>
        <scheme val="none"/>
      </font>
      <alignment horizontal="left" vertical="center" wrapText="1" readingOrder="0"/>
      <border outline="0">
        <right style="thin">
          <color indexed="64"/>
        </right>
        <top style="thin">
          <color indexed="64"/>
        </top>
      </border>
    </dxf>
  </rfmt>
  <rcc rId="8817" sId="31" odxf="1" dxf="1" numFmtId="4">
    <nc r="E51">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18" sId="31" odxf="1" dxf="1">
    <nc r="F51">
      <v>24</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819" sId="31" odxf="1" dxf="1">
    <nc r="G51"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1"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1"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20" sId="31" odxf="1" dxf="1" numFmtId="4">
    <nc r="J51">
      <v>352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51"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21" sId="31" odxf="1" dxf="1" numFmtId="4">
    <nc r="L51">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2" sId="31" odxf="1" dxf="1" numFmtId="4">
    <nc r="N51">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3" sId="31" odxf="1" dxf="1">
    <nc r="P51">
      <v>619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52" start="0" length="0">
    <dxf>
      <font>
        <b/>
        <sz val="12"/>
        <color auto="1"/>
        <name val="Arial"/>
        <scheme val="none"/>
      </font>
      <alignment horizontal="center" vertical="center" wrapText="1" readingOrder="0"/>
      <border outline="0">
        <left style="thin">
          <color indexed="64"/>
        </left>
      </border>
    </dxf>
  </rfmt>
  <rfmt sheetId="31" sqref="B52" start="0" length="0">
    <dxf>
      <font>
        <b/>
        <sz val="12"/>
        <color auto="1"/>
        <name val="Arial"/>
        <scheme val="none"/>
      </font>
      <alignment horizontal="center" vertical="center" wrapText="1" readingOrder="0"/>
      <border outline="0">
        <right style="thin">
          <color indexed="64"/>
        </right>
      </border>
    </dxf>
  </rfmt>
  <rfmt sheetId="31" sqref="C52" start="0" length="0">
    <dxf>
      <font>
        <sz val="8"/>
        <color auto="1"/>
        <name val="Arial"/>
        <scheme val="none"/>
      </font>
      <alignment horizontal="left" vertical="center" wrapText="1" readingOrder="0"/>
      <border outline="0">
        <left style="thin">
          <color indexed="64"/>
        </left>
        <bottom style="thin">
          <color indexed="64"/>
        </bottom>
      </border>
    </dxf>
  </rfmt>
  <rfmt sheetId="31" sqref="D52" start="0" length="0">
    <dxf>
      <font>
        <sz val="8"/>
        <color auto="1"/>
        <name val="Arial"/>
        <scheme val="none"/>
      </font>
      <alignment horizontal="left" vertical="center" wrapText="1" readingOrder="0"/>
      <border outline="0">
        <right style="thin">
          <color indexed="64"/>
        </right>
        <bottom style="thin">
          <color indexed="64"/>
        </bottom>
      </border>
    </dxf>
  </rfmt>
  <rfmt sheetId="31" sqref="E52" start="0" length="0">
    <dxf>
      <font>
        <sz val="12"/>
        <color auto="1"/>
        <name val="Arial"/>
        <scheme val="none"/>
      </font>
      <numFmt numFmtId="2" formatCode="0.00"/>
      <alignment horizontal="center" vertical="center" wrapText="1" readingOrder="0"/>
      <border outline="0">
        <left style="thin">
          <color indexed="64"/>
        </left>
        <right style="thin">
          <color indexed="64"/>
        </right>
        <bottom style="thin">
          <color indexed="64"/>
        </bottom>
      </border>
    </dxf>
  </rfmt>
  <rfmt sheetId="31" sqref="F52" start="0" length="0">
    <dxf>
      <font>
        <sz val="12"/>
        <color auto="1"/>
        <name val="Arial"/>
        <scheme val="none"/>
      </font>
      <alignment horizontal="center" vertical="center" wrapText="1" readingOrder="0"/>
      <border outline="0">
        <left style="thin">
          <color indexed="64"/>
        </left>
        <right style="thin">
          <color indexed="64"/>
        </right>
        <bottom style="thin">
          <color indexed="64"/>
        </bottom>
      </border>
    </dxf>
  </rfmt>
  <rcc rId="8824" sId="31" odxf="1" dxf="1">
    <nc r="G52"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2"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2"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25" sId="31" odxf="1" dxf="1" numFmtId="4">
    <nc r="J52">
      <v>418</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5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826" sId="31" odxf="1" dxf="1" numFmtId="4">
    <nc r="L52">
      <v>625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7" sId="31" odxf="1" dxf="1" numFmtId="4">
    <nc r="N52">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8" sId="31" odxf="1" dxf="1">
    <nc r="P52">
      <v>666</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829" sId="31" odxf="1" dxf="1">
    <nc r="A53" t="inlineStr">
      <is>
        <t>J-профиль широкий (наличник)</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53" start="0" length="0">
    <dxf>
      <font>
        <b/>
        <sz val="12"/>
        <color auto="1"/>
        <name val="Arial"/>
        <scheme val="none"/>
      </font>
      <alignment horizontal="center" vertical="center" wrapText="1" readingOrder="0"/>
      <border outline="0">
        <right style="thin">
          <color indexed="64"/>
        </right>
        <top style="thin">
          <color indexed="64"/>
        </top>
      </border>
    </dxf>
  </rfmt>
  <rfmt sheetId="31" sqref="C53" start="0" length="0">
    <dxf>
      <font>
        <sz val="8"/>
        <color auto="1"/>
        <name val="Arial"/>
        <scheme val="none"/>
      </font>
      <alignment horizontal="left" vertical="center" wrapText="1" readingOrder="0"/>
      <border outline="0">
        <left style="thin">
          <color indexed="64"/>
        </left>
        <top style="thin">
          <color indexed="64"/>
        </top>
      </border>
    </dxf>
  </rfmt>
  <rfmt sheetId="31" sqref="D53" start="0" length="0">
    <dxf>
      <font>
        <sz val="8"/>
        <color auto="1"/>
        <name val="Arial"/>
        <scheme val="none"/>
      </font>
      <alignment horizontal="left" vertical="center" wrapText="1" readingOrder="0"/>
      <border outline="0">
        <right style="thin">
          <color indexed="64"/>
        </right>
        <top style="thin">
          <color indexed="64"/>
        </top>
      </border>
    </dxf>
  </rfmt>
  <rcc rId="8830" sId="31" odxf="1" dxf="1" numFmtId="4">
    <nc r="E53">
      <v>3.1</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31" sId="31" odxf="1" dxf="1">
    <nc r="F53">
      <v>20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832" sId="31" odxf="1" dxf="1">
    <nc r="G53"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3"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3"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33" sId="31" odxf="1" dxf="1" numFmtId="4">
    <nc r="J53">
      <v>352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5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34" sId="31" odxf="1" dxf="1" numFmtId="4">
    <nc r="L53">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35" sId="31" odxf="1" dxf="1" numFmtId="4">
    <nc r="N53">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36" sId="31" odxf="1" s="1" dxf="1">
    <nc r="P53">
      <v>619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3"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qref="A54" start="0" length="0">
    <dxf>
      <font>
        <b/>
        <sz val="12"/>
        <color auto="1"/>
        <name val="Arial"/>
        <scheme val="none"/>
      </font>
      <alignment horizontal="center" vertical="center" wrapText="1" readingOrder="0"/>
      <border outline="0">
        <left style="thin">
          <color indexed="64"/>
        </left>
      </border>
    </dxf>
  </rfmt>
  <rfmt sheetId="31" sqref="B54" start="0" length="0">
    <dxf>
      <font>
        <b/>
        <sz val="12"/>
        <color auto="1"/>
        <name val="Arial"/>
        <scheme val="none"/>
      </font>
      <alignment horizontal="center" vertical="center" wrapText="1" readingOrder="0"/>
      <border outline="0">
        <right style="thin">
          <color indexed="64"/>
        </right>
      </border>
    </dxf>
  </rfmt>
  <rfmt sheetId="31" sqref="C54" start="0" length="0">
    <dxf>
      <font>
        <sz val="8"/>
        <color auto="1"/>
        <name val="Arial"/>
        <scheme val="none"/>
      </font>
      <alignment horizontal="left" vertical="center" wrapText="1" readingOrder="0"/>
      <border outline="0">
        <left style="thin">
          <color indexed="64"/>
        </left>
      </border>
    </dxf>
  </rfmt>
  <rfmt sheetId="31" sqref="D54" start="0" length="0">
    <dxf>
      <font>
        <sz val="8"/>
        <color auto="1"/>
        <name val="Arial"/>
        <scheme val="none"/>
      </font>
      <alignment horizontal="left" vertical="center" wrapText="1" readingOrder="0"/>
      <border outline="0">
        <right style="thin">
          <color indexed="64"/>
        </right>
      </border>
    </dxf>
  </rfmt>
  <rfmt sheetId="31" sqref="E54"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54" start="0" length="0">
    <dxf>
      <font>
        <sz val="12"/>
        <color auto="1"/>
        <name val="Arial"/>
        <scheme val="none"/>
      </font>
      <alignment horizontal="center" vertical="center" wrapText="1" readingOrder="0"/>
      <border outline="0">
        <left style="thin">
          <color indexed="64"/>
        </left>
        <right style="thin">
          <color indexed="64"/>
        </right>
      </border>
    </dxf>
  </rfmt>
  <rcc rId="8837" sId="31" odxf="1" dxf="1">
    <nc r="G54" t="inlineStr">
      <is>
        <t>коричневый</t>
      </is>
    </nc>
    <odxf>
      <font>
        <sz val="11"/>
        <color theme="1"/>
        <name val="Calibri"/>
        <scheme val="minor"/>
      </font>
      <alignment horizontal="general" vertical="bottom" wrapText="0" readingOrder="0"/>
      <border outline="0">
        <left/>
        <right/>
        <top/>
        <bottom/>
      </border>
    </odxf>
    <ndxf>
      <font>
        <sz val="12"/>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4"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4"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38" sId="31" odxf="1" dxf="1" numFmtId="4">
    <nc r="J54">
      <v>418</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54"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839" sId="31" odxf="1" dxf="1" numFmtId="4">
    <nc r="L54">
      <v>625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0" sId="31" odxf="1" dxf="1" numFmtId="4">
    <nc r="N54">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1" sId="31" odxf="1" s="1" dxf="1">
    <nc r="P54">
      <v>666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4"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8842" sId="31" odxf="1" dxf="1">
    <nc r="A55" t="inlineStr">
      <is>
        <t>Приоконная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55" start="0" length="0">
    <dxf>
      <font>
        <b/>
        <sz val="12"/>
        <color auto="1"/>
        <name val="Arial"/>
        <scheme val="none"/>
      </font>
      <alignment horizontal="center" vertical="center" wrapText="1" readingOrder="0"/>
      <border outline="0">
        <right style="thin">
          <color indexed="64"/>
        </right>
        <top style="thin">
          <color indexed="64"/>
        </top>
      </border>
    </dxf>
  </rfmt>
  <rfmt sheetId="31" sqref="C55" start="0" length="0">
    <dxf>
      <font>
        <sz val="8"/>
        <color auto="1"/>
        <name val="Arial"/>
        <scheme val="none"/>
      </font>
      <alignment horizontal="center" vertical="center" wrapText="1" readingOrder="0"/>
      <border outline="0">
        <left style="thin">
          <color indexed="64"/>
        </left>
        <top style="thin">
          <color indexed="64"/>
        </top>
      </border>
    </dxf>
  </rfmt>
  <rfmt sheetId="31" sqref="D55" start="0" length="0">
    <dxf>
      <font>
        <sz val="8"/>
        <color auto="1"/>
        <name val="Arial"/>
        <scheme val="none"/>
      </font>
      <alignment horizontal="center" vertical="center" wrapText="1" readingOrder="0"/>
      <border outline="0">
        <right style="thin">
          <color indexed="64"/>
        </right>
        <top style="thin">
          <color indexed="64"/>
        </top>
      </border>
    </dxf>
  </rfmt>
  <rcc rId="8843" sId="31" odxf="1" dxf="1" numFmtId="4">
    <nc r="E55">
      <v>3.1</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44" sId="31" odxf="1" s="1" dxf="1">
    <nc r="F55">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2"/>
        <color auto="1"/>
        <name val="Arial"/>
        <scheme val="none"/>
      </font>
      <alignment horizontal="center" vertical="center" readingOrder="0"/>
      <border outline="0">
        <left style="thin">
          <color indexed="64"/>
        </left>
        <right style="thin">
          <color indexed="64"/>
        </right>
        <top style="thin">
          <color indexed="64"/>
        </top>
      </border>
    </ndxf>
  </rcc>
  <rcc rId="8845" sId="31" odxf="1" dxf="1">
    <nc r="G55"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5"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5"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46" sId="31" odxf="1" s="1" dxf="1" numFmtId="4">
    <nc r="J55">
      <v>352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1" sqref="K5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47" sId="31" odxf="1" dxf="1" numFmtId="4">
    <nc r="L55">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8" sId="31" odxf="1" dxf="1" numFmtId="4">
    <nc r="N55">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9" sId="31" odxf="1" s="1" dxf="1">
    <nc r="P55">
      <v>619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5"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qref="A56" start="0" length="0">
    <dxf>
      <font>
        <b/>
        <sz val="12"/>
        <color auto="1"/>
        <name val="Arial"/>
        <scheme val="none"/>
      </font>
      <alignment horizontal="center" vertical="center" wrapText="1" readingOrder="0"/>
      <border outline="0">
        <left style="thin">
          <color indexed="64"/>
        </left>
      </border>
    </dxf>
  </rfmt>
  <rfmt sheetId="31" sqref="B56" start="0" length="0">
    <dxf>
      <font>
        <b/>
        <sz val="12"/>
        <color auto="1"/>
        <name val="Arial"/>
        <scheme val="none"/>
      </font>
      <alignment horizontal="center" vertical="center" wrapText="1" readingOrder="0"/>
      <border outline="0">
        <right style="thin">
          <color indexed="64"/>
        </right>
      </border>
    </dxf>
  </rfmt>
  <rfmt sheetId="31" sqref="C56" start="0" length="0">
    <dxf>
      <font>
        <sz val="8"/>
        <color auto="1"/>
        <name val="Arial"/>
        <scheme val="none"/>
      </font>
      <alignment horizontal="center" vertical="center" wrapText="1" readingOrder="0"/>
      <border outline="0">
        <left style="thin">
          <color indexed="64"/>
        </left>
      </border>
    </dxf>
  </rfmt>
  <rfmt sheetId="31" sqref="D56" start="0" length="0">
    <dxf>
      <font>
        <sz val="8"/>
        <color auto="1"/>
        <name val="Arial"/>
        <scheme val="none"/>
      </font>
      <alignment horizontal="center" vertical="center" wrapText="1" readingOrder="0"/>
      <border outline="0">
        <right style="thin">
          <color indexed="64"/>
        </right>
      </border>
    </dxf>
  </rfmt>
  <rfmt sheetId="31" sqref="E56"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1" sqref="F56" start="0" length="0">
    <dxf>
      <font>
        <sz val="12"/>
        <color auto="1"/>
        <name val="Arial"/>
        <scheme val="none"/>
      </font>
      <alignment horizontal="center" vertical="center" readingOrder="0"/>
      <border outline="0">
        <left style="thin">
          <color indexed="64"/>
        </left>
        <right style="thin">
          <color indexed="64"/>
        </right>
      </border>
    </dxf>
  </rfmt>
  <rcc rId="8850" sId="31" odxf="1" dxf="1">
    <nc r="G56" t="inlineStr">
      <is>
        <t>коричневый</t>
      </is>
    </nc>
    <odxf>
      <font>
        <sz val="11"/>
        <color theme="1"/>
        <name val="Calibri"/>
        <scheme val="minor"/>
      </font>
      <alignment horizontal="general" vertical="bottom" wrapText="0" readingOrder="0"/>
      <border outline="0">
        <left/>
        <right/>
        <top/>
        <bottom/>
      </border>
    </odxf>
    <ndxf>
      <font>
        <sz val="12"/>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6"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6"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51" sId="31" odxf="1" s="1" dxf="1" numFmtId="4">
    <nc r="J56">
      <v>418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1" sqref="K5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52" sId="31" odxf="1" dxf="1" numFmtId="4">
    <nc r="L56">
      <v>625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53" sId="31" odxf="1" dxf="1" numFmtId="4">
    <nc r="N56">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54" sId="31" odxf="1" s="1" dxf="1">
    <nc r="P56">
      <v>666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6"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8855" sId="31" odxf="1" dxf="1">
    <nc r="A57" t="inlineStr">
      <is>
        <t>Сливная планка</t>
      </is>
    </nc>
    <odxf>
      <font>
        <b val="0"/>
        <sz val="11"/>
        <color theme="1"/>
        <name val="Calibri"/>
        <scheme val="minor"/>
      </font>
      <alignment horizontal="general" vertical="bottom" wrapText="0" readingOrder="0"/>
      <border outline="0">
        <left/>
        <top/>
        <bottom/>
      </border>
    </odxf>
    <ndxf>
      <font>
        <b/>
        <sz val="12"/>
        <color auto="1"/>
        <name val="Arial"/>
        <scheme val="none"/>
      </font>
      <alignment horizontal="center" vertical="center" wrapText="1" readingOrder="0"/>
      <border outline="0">
        <left style="thin">
          <color indexed="64"/>
        </left>
        <top style="thin">
          <color indexed="64"/>
        </top>
        <bottom style="thin">
          <color indexed="64"/>
        </bottom>
      </border>
    </ndxf>
  </rcc>
  <rfmt sheetId="31" sqref="B57" start="0" length="0">
    <dxf>
      <font>
        <b/>
        <sz val="12"/>
        <color auto="1"/>
        <name val="Arial"/>
        <scheme val="none"/>
      </font>
      <alignment horizontal="center" vertical="center" wrapText="1" readingOrder="0"/>
      <border outline="0">
        <right style="thin">
          <color indexed="64"/>
        </right>
        <top style="thin">
          <color indexed="64"/>
        </top>
        <bottom style="thin">
          <color indexed="64"/>
        </bottom>
      </border>
    </dxf>
  </rfmt>
  <rfmt sheetId="31" sqref="C57" start="0" length="0">
    <dxf>
      <font>
        <sz val="8"/>
        <color auto="1"/>
        <name val="Arial"/>
        <scheme val="none"/>
      </font>
      <alignment horizontal="center" vertical="center" wrapText="1" readingOrder="0"/>
      <border outline="0">
        <left style="thin">
          <color indexed="64"/>
        </left>
        <top style="thin">
          <color indexed="64"/>
        </top>
        <bottom style="thin">
          <color indexed="64"/>
        </bottom>
      </border>
    </dxf>
  </rfmt>
  <rfmt sheetId="31" sqref="D57" start="0" length="0">
    <dxf>
      <font>
        <sz val="8"/>
        <color auto="1"/>
        <name val="Arial"/>
        <scheme val="none"/>
      </font>
      <alignment horizontal="center" vertical="center" wrapText="1" readingOrder="0"/>
      <border outline="0">
        <right style="thin">
          <color indexed="64"/>
        </right>
        <top style="thin">
          <color indexed="64"/>
        </top>
        <bottom style="thin">
          <color indexed="64"/>
        </bottom>
      </border>
    </dxf>
  </rfmt>
  <rcc rId="8856" sId="31" odxf="1" dxf="1" numFmtId="4">
    <nc r="E57">
      <v>3</v>
    </nc>
    <odxf>
      <font>
        <sz val="11"/>
        <color theme="1"/>
        <name val="Calibri"/>
        <scheme val="minor"/>
      </font>
      <numFmt numFmtId="0" formatCode="General"/>
      <alignment horizontal="general" vertical="bottom" wrapText="0" readingOrder="0"/>
      <border outline="0">
        <left/>
        <right/>
        <top/>
        <bottom/>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8857" sId="31" odxf="1" dxf="1">
    <nc r="F57">
      <v>60</v>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cc rId="8858" sId="31" odxf="1" dxf="1">
    <nc r="G57"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7"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7"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59" sId="31" odxf="1" dxf="1" numFmtId="4">
    <nc r="J57">
      <v>109</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57"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60" sId="31" odxf="1" dxf="1" numFmtId="4">
    <nc r="L57">
      <v>224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61" sId="31" odxf="1" dxf="1" numFmtId="4">
    <nc r="N57">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62" sId="31" odxf="1" dxf="1">
    <nc r="P57">
      <v>264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rc rId="8863" sId="31" ref="J1:J1048576" action="deleteCol">
    <rfmt sheetId="31" xfDxf="1" sqref="J1:J1048576" start="0" length="0"/>
    <rcc rId="0" sId="31" dxf="1">
      <nc r="J11"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139</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152.9</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5">
        <v>211</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0" sId="31" dxf="1" numFmtId="4">
      <nc r="J16">
        <v>99</v>
      </nc>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0" sId="31" dxf="1" numFmtId="4">
      <nc r="J17">
        <v>99</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c r="J18"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154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169.4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c r="J22"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3"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4">
        <v>367</v>
      </nc>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0" sId="31" dxf="1" numFmtId="4">
      <nc r="J25">
        <v>468</v>
      </nc>
      <ndxf>
        <font>
          <sz val="13"/>
          <color auto="1"/>
          <name val="Arial"/>
          <scheme val="none"/>
        </font>
        <numFmt numFmtId="2" formatCode="0.00"/>
        <alignment horizontal="center" vertical="center" readingOrder="0"/>
        <border outline="0">
          <left style="thin">
            <color indexed="64"/>
          </left>
          <right style="thin">
            <color indexed="64"/>
          </right>
          <bottom style="thin">
            <color indexed="64"/>
          </bottom>
        </border>
      </ndxf>
    </rcc>
    <rcc rId="0" sId="31" dxf="1">
      <nc r="J26"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7"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fmt sheetId="31" sqref="J28" start="0" length="0">
      <dxf>
        <font>
          <sz val="13"/>
          <color auto="1"/>
          <name val="Arial"/>
          <scheme val="none"/>
        </font>
        <numFmt numFmtId="2" formatCode="0.00"/>
        <alignment horizontal="center" vertical="center" wrapText="1" readingOrder="0"/>
        <border outline="0">
          <left style="thin">
            <color indexed="64"/>
          </left>
          <top style="thin">
            <color indexed="64"/>
          </top>
        </border>
        <protection locked="0"/>
      </dxf>
    </rfmt>
    <rfmt sheetId="31" sqref="J29" start="0" length="0">
      <dxf>
        <font>
          <sz val="13"/>
          <color auto="1"/>
          <name val="Arial"/>
          <scheme val="none"/>
        </font>
        <numFmt numFmtId="2" formatCode="0.00"/>
        <alignment horizontal="center" vertical="center" wrapText="1" readingOrder="0"/>
        <border outline="0">
          <left style="thin">
            <color indexed="64"/>
          </left>
          <bottom style="thin">
            <color indexed="64"/>
          </bottom>
        </border>
        <protection locked="0"/>
      </dxf>
    </rfmt>
    <rcc rId="0" sId="31" dxf="1">
      <nc r="J30"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J31" start="0" length="0">
      <dxf>
        <alignment horizontal="center" vertical="center" readingOrder="0"/>
        <border outline="0">
          <left style="thin">
            <color indexed="64"/>
          </left>
          <bottom style="thin">
            <color indexed="64"/>
          </bottom>
        </border>
      </dxf>
    </rfmt>
    <rcc rId="0" sId="31" dxf="1" numFmtId="4">
      <nc r="J32">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3">
        <v>387.2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4">
        <v>418</v>
      </nc>
      <ndxf>
        <font>
          <sz val="13"/>
          <color auto="1"/>
          <name val="Arial Cyr"/>
          <scheme val="none"/>
        </font>
        <numFmt numFmtId="4" formatCode="#,##0.00"/>
        <alignment horizontal="center" vertical="center" readingOrder="0"/>
        <border outline="0">
          <left style="thin">
            <color indexed="64"/>
          </left>
          <top style="thin">
            <color indexed="64"/>
          </top>
        </border>
      </ndxf>
    </rcc>
    <rcc rId="0" sId="31" dxf="1" numFmtId="4">
      <nc r="J35">
        <v>136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6">
        <v>149.6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7">
        <v>162</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8">
        <v>113</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9">
        <v>124.3</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0">
        <v>135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1">
        <v>270</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2">
        <v>325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3">
        <v>250</v>
      </nc>
      <ndxf>
        <font>
          <sz val="13"/>
          <color auto="1"/>
          <name val="Arial Cyr"/>
          <scheme val="none"/>
        </font>
        <numFmt numFmtId="4" formatCode="#,##0.00"/>
        <alignment horizontal="center" vertical="center" readingOrder="0"/>
        <border outline="0">
          <left style="thin">
            <color indexed="64"/>
          </left>
          <bottom style="thin">
            <color indexed="64"/>
          </bottom>
        </border>
      </ndxf>
    </rcc>
    <rcc rId="0" sId="31" dxf="1" numFmtId="4">
      <nc r="J44">
        <v>109</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5">
        <v>386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6">
        <v>424.6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7">
        <v>455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8">
        <v>340</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9">
        <v>374</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0">
        <v>405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1">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2">
        <v>418</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3">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4">
        <v>418</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s="1" dxf="1" numFmtId="4">
      <nc r="J55">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s="1" dxf="1" numFmtId="4">
      <nc r="J56">
        <v>418</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7">
        <v>109</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rc>
  <rrc rId="8864"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3">
        <v>171</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189.60813492063494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5">
        <v>261.65674603174602</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0" sId="31" dxf="1" numFmtId="4">
      <nc r="J16">
        <v>162.56</v>
      </nc>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0" sId="31" dxf="1" numFmtId="4">
      <nc r="J17">
        <v>162.56</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0">
        <v>210.38251366120218</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231.4207650273224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3"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4">
        <v>403.74037403740374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514.85148514851483</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7"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8" start="0" length="0">
      <dxf>
        <font>
          <sz val="13"/>
          <color auto="1"/>
          <name val="Arial"/>
          <scheme val="none"/>
        </font>
        <numFmt numFmtId="2" formatCode="0.00"/>
        <alignment horizontal="center" vertical="center" wrapText="1" readingOrder="0"/>
        <border outline="0">
          <right style="thin">
            <color indexed="64"/>
          </right>
          <top style="thin">
            <color indexed="64"/>
          </top>
        </border>
        <protection locked="0"/>
      </dxf>
    </rfmt>
    <rfmt sheetId="31" sqref="J29" start="0" length="0">
      <dxf>
        <font>
          <sz val="13"/>
          <color auto="1"/>
          <name val="Arial"/>
          <scheme val="none"/>
        </font>
        <numFmt numFmtId="2" formatCode="0.00"/>
        <alignment horizontal="center" vertical="center" wrapText="1" readingOrder="0"/>
        <border outline="0">
          <right style="thin">
            <color indexed="64"/>
          </right>
          <bottom style="thin">
            <color indexed="64"/>
          </bottom>
        </border>
        <protection locked="0"/>
      </dxf>
    </rfmt>
    <rfmt sheetId="31" sqref="J30" start="0" length="0">
      <dxf>
        <alignment horizontal="center" vertical="center" readingOrder="0"/>
        <border outline="0">
          <right style="thin">
            <color indexed="64"/>
          </right>
          <top style="thin">
            <color indexed="64"/>
          </top>
        </border>
      </dxf>
    </rfmt>
    <rfmt sheetId="31" sqref="J31" start="0" length="0">
      <dxf>
        <alignment horizontal="center" vertical="center" readingOrder="0"/>
        <border outline="0">
          <right style="thin">
            <color indexed="64"/>
          </right>
          <bottom style="thin">
            <color indexed="64"/>
          </bottom>
        </border>
      </dxf>
    </rfmt>
    <rfmt sheetId="31" sqref="J32"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4" start="0" length="0">
      <dxf>
        <font>
          <sz val="13"/>
          <color auto="1"/>
          <name val="Arial Cyr"/>
          <scheme val="none"/>
        </font>
        <numFmt numFmtId="4" formatCode="#,##0.00"/>
        <alignment horizontal="center" vertical="center" readingOrder="0"/>
        <border outline="0">
          <right style="thin">
            <color indexed="64"/>
          </right>
          <top style="thin">
            <color indexed="64"/>
          </top>
        </border>
      </dxf>
    </rfmt>
    <rfmt sheetId="31" sqref="J3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38"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39"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1"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3" start="0" length="0">
      <dxf>
        <font>
          <sz val="13"/>
          <color auto="1"/>
          <name val="Arial Cyr"/>
          <scheme val="none"/>
        </font>
        <numFmt numFmtId="4" formatCode="#,##0.00"/>
        <alignment horizontal="center" vertical="center" readingOrder="0"/>
        <border outline="0">
          <right style="thin">
            <color indexed="64"/>
          </right>
          <bottom style="thin">
            <color indexed="64"/>
          </bottom>
        </border>
      </dxf>
    </rfmt>
    <rfmt sheetId="31" sqref="J44"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8"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9"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51"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5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4"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1" sqref="J5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1" sqref="J5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7"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rc>
  <rrc rId="8865" sId="31" ref="J1:J1048576" action="deleteCol">
    <rfmt sheetId="31" xfDxf="1" sqref="J1:J1048576" start="0" length="0"/>
    <rcc rId="0" sId="31" dxf="1">
      <nc r="J11"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194</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4">
        <v>232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5">
        <v>262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medium">
            <color indexed="64"/>
          </bottom>
        </border>
      </ndxf>
    </rcc>
    <rcc rId="0" sId="31" s="1" dxf="1" numFmtId="4">
      <nc r="J16">
        <v>147</v>
      </nc>
      <ndxf>
        <font>
          <sz val="13"/>
          <color auto="1"/>
          <name val="Arial"/>
          <scheme val="none"/>
        </font>
        <numFmt numFmtId="3" formatCode="#,##0"/>
        <alignment horizontal="center" vertical="center" readingOrder="0"/>
        <border outline="0">
          <left style="thin">
            <color indexed="64"/>
          </left>
          <right style="thin">
            <color indexed="64"/>
          </right>
          <bottom style="thin">
            <color indexed="64"/>
          </bottom>
        </border>
      </ndxf>
    </rcc>
    <rcc rId="0" sId="31" s="1" dxf="1" numFmtId="4">
      <nc r="J17">
        <v>176</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0" sId="31" dxf="1">
      <nc r="J18"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213</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256</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3"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umFmtId="4">
      <nc r="J24">
        <v>485</v>
      </nc>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cc rId="0" sId="31" dxf="1" numFmtId="4">
      <nc r="J25">
        <v>618</v>
      </nc>
      <ndxf>
        <font>
          <sz val="13"/>
          <color auto="1"/>
          <name val="Arial"/>
          <scheme val="none"/>
        </font>
        <numFmt numFmtId="1" formatCode="0"/>
        <alignment horizontal="center" vertical="center" readingOrder="0"/>
        <border outline="0">
          <left style="thin">
            <color indexed="64"/>
          </left>
          <right style="thin">
            <color indexed="64"/>
          </right>
          <bottom style="thin">
            <color indexed="64"/>
          </bottom>
        </border>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7"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s="1" dxf="1" numFmtId="4">
      <nc r="J28">
        <v>581</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29">
        <v>742</v>
      </nc>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31"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umFmtId="4">
      <nc r="J32">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3">
        <v>605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4">
        <v>625</v>
      </nc>
      <ndxf>
        <font>
          <sz val="13"/>
          <color auto="1"/>
          <name val="Arial"/>
          <scheme val="none"/>
        </font>
        <numFmt numFmtId="3" formatCode="#,##0"/>
        <alignment horizontal="center" vertical="center" readingOrder="0"/>
        <border outline="0">
          <left style="thin">
            <color indexed="64"/>
          </left>
          <top style="thin">
            <color indexed="64"/>
          </top>
        </border>
      </ndxf>
    </rcc>
    <rcc rId="0" sId="31" dxf="1" numFmtId="4">
      <nc r="J35">
        <v>204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6">
        <v>234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7">
        <v>242</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8">
        <v>168</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9">
        <v>194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0">
        <v>202</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1">
        <v>404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2">
        <v>485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3">
        <v>300</v>
      </nc>
      <ndxf>
        <font>
          <sz val="13"/>
          <color auto="1"/>
          <name val="Arial"/>
          <scheme val="none"/>
        </font>
        <numFmt numFmtId="3" formatCode="#,##0"/>
        <alignment horizontal="center" vertical="center" readingOrder="0"/>
        <border outline="0">
          <left style="thin">
            <color indexed="64"/>
          </left>
          <bottom style="thin">
            <color indexed="64"/>
          </bottom>
        </border>
      </ndxf>
    </rcc>
    <rcc rId="0" sId="31" dxf="1" numFmtId="4">
      <nc r="J44">
        <v>164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5">
        <v>576</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6">
        <v>664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7">
        <v>679</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8">
        <v>507</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9">
        <v>585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0">
        <v>605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1">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2">
        <v>625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3">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4">
        <v>625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5">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6">
        <v>625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7">
        <v>224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rc>
  <rrc rId="8866"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3">
        <v>239.50617283950615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286.41975308641975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5">
        <v>323.45679012345676</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s="1" dxf="1" numFmtId="4">
      <nc r="J16">
        <v>240.98360655737704</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17">
        <v>288.52459016393442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0">
        <v>291.78082191780823</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350.6849315068493</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umFmtId="4">
      <nc r="J24">
        <v>533.55335533553352</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679.86798679867979</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s="1" dxf="1" numFmtId="4">
      <nc r="J28">
        <v>787.26287262872631</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29">
        <v>1005.420054200542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3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J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4" start="0" length="0">
      <dxf>
        <font>
          <sz val="13"/>
          <color auto="1"/>
          <name val="Arial"/>
          <scheme val="none"/>
        </font>
        <numFmt numFmtId="3" formatCode="#,##0"/>
        <alignment horizontal="center" vertical="center" readingOrder="0"/>
        <border outline="0">
          <right style="thin">
            <color indexed="64"/>
          </right>
          <top style="thin">
            <color indexed="64"/>
          </top>
        </border>
      </dxf>
    </rfmt>
    <rfmt sheetId="31" sqref="J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3" start="0" length="0">
      <dxf>
        <font>
          <sz val="13"/>
          <color auto="1"/>
          <name val="Arial"/>
          <scheme val="none"/>
        </font>
        <numFmt numFmtId="3" formatCode="#,##0"/>
        <alignment horizontal="center" vertical="center" readingOrder="0"/>
        <border outline="0">
          <right style="thin">
            <color indexed="64"/>
          </right>
          <bottom style="thin">
            <color indexed="64"/>
          </bottom>
        </border>
      </dxf>
    </rfmt>
    <rfmt sheetId="31" sqref="J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rc>
  <rrc rId="8867" sId="31" ref="J1:J1048576" action="deleteCol">
    <rfmt sheetId="31" xfDxf="1" sqref="J1:J1048576" start="0" length="0"/>
    <rcc rId="0" sId="31" dxf="1">
      <nc r="J11"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4">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5">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6">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7">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c r="J18"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3"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umFmtId="4">
      <nc r="J24">
        <v>0</v>
      </nc>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0" sId="31" dxf="1" numFmtId="4">
      <nc r="J25">
        <v>0</v>
      </nc>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7"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s="1" dxf="1" numFmtId="4">
      <nc r="J28">
        <v>0</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29">
        <v>0</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qref="J31" start="0" length="0">
      <dxf>
        <font>
          <sz val="13"/>
          <color indexed="55"/>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umFmtId="4">
      <nc r="J32">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3">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4">
        <v>0</v>
      </nc>
      <ndxf>
        <font>
          <sz val="13"/>
          <color auto="1"/>
          <name val="Arial"/>
          <scheme val="none"/>
        </font>
        <numFmt numFmtId="3" formatCode="#,##0"/>
        <alignment horizontal="center" vertical="center" readingOrder="0"/>
        <border outline="0">
          <left style="thin">
            <color indexed="64"/>
          </left>
          <top style="thin">
            <color indexed="64"/>
          </top>
        </border>
      </ndxf>
    </rcc>
    <rcc rId="0" sId="31" dxf="1" numFmtId="4">
      <nc r="J35">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6">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7">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8">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9">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0">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1">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2">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3">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4">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5">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6">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7">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8">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9">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0">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1">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2">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3">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4">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5">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6">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7">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rc>
  <rrc rId="8868"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c r="J15" t="e">
        <v>#DIV/0!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6">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7">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umFmtId="4">
      <nc r="J24">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s="1" dxf="1" numFmtId="4">
      <nc r="J28">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29">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31" start="0" length="0">
      <dxf>
        <font>
          <sz val="13"/>
          <color indexed="55"/>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4" start="0" length="0">
      <dxf>
        <font>
          <sz val="13"/>
          <color auto="1"/>
          <name val="Arial"/>
          <scheme val="none"/>
        </font>
        <numFmt numFmtId="3" formatCode="#,##0"/>
        <alignment horizontal="center" vertical="center" readingOrder="0"/>
        <border outline="0">
          <right style="thin">
            <color indexed="64"/>
          </right>
          <top style="thin">
            <color indexed="64"/>
          </top>
        </border>
      </dxf>
    </rfmt>
    <rfmt sheetId="31" sqref="J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rc>
  <rrc rId="8869" sId="31" ref="J1:J1048576" action="deleteCol">
    <rfmt sheetId="31" xfDxf="1" sqref="J1:J1048576" start="0" length="0"/>
    <rcc rId="0" sId="31" dxf="1">
      <nc r="J11"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13">
        <v>202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4">
        <v>243</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5">
        <v>272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6">
        <v>152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7">
        <v>182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8"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20">
        <v>218</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1">
        <v>261</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2"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3"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24">
        <v>508</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5">
        <v>585</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6"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7"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28">
        <v>562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9">
        <v>647</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0"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J31" start="0" length="0">
      <dxf>
        <alignment horizontal="center" vertical="center" readingOrder="0"/>
        <border outline="0">
          <left style="thin">
            <color indexed="64"/>
          </left>
          <bottom style="thin">
            <color indexed="64"/>
          </bottom>
        </border>
      </dxf>
    </rfmt>
    <rcc rId="0" sId="31" dxf="1">
      <nc r="J32">
        <v>619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3">
        <v>714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4">
        <v>666</v>
      </nc>
      <ndxf>
        <font>
          <sz val="13"/>
          <color auto="1"/>
          <name val="Arial Cyr"/>
          <scheme val="none"/>
        </font>
        <alignment horizontal="center" vertical="center" readingOrder="0"/>
        <border outline="0">
          <left style="thin">
            <color indexed="64"/>
          </left>
          <right style="thin">
            <color indexed="64"/>
          </right>
          <top style="thin">
            <color indexed="64"/>
          </top>
        </border>
      </ndxf>
    </rcc>
    <rcc rId="0" sId="31" dxf="1">
      <nc r="J35">
        <v>241</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6">
        <v>275</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7">
        <v>258</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8">
        <v>199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9">
        <v>230</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0">
        <v>222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1">
        <v>457</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2">
        <v>476</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3">
        <v>354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4">
        <v>194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5">
        <v>680</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6">
        <v>784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7">
        <v>723</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8">
        <v>599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9">
        <v>691</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0">
        <v>645</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1">
        <v>619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2">
        <v>666</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3">
        <v>619</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4">
        <v>666</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5">
        <v>619</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6">
        <v>666</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7">
        <v>264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rc>
  <rrc rId="8870"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3">
        <v>249.38271604938271</v>
      </nc>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cc rId="0" sId="31" dxf="1" numFmtId="4">
      <nc r="J14">
        <v>300</v>
      </nc>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cc rId="0" sId="31" s="1" dxf="1" numFmtId="4">
      <nc r="J16">
        <v>249.18032786885246</v>
      </nc>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cc rId="0" sId="31" s="1" dxf="1" numFmtId="4">
      <nc r="J17">
        <v>298.36065573770492</v>
      </nc>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0">
        <v>298.63013698630135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357.53424657534248</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3"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4">
        <v>558.85588558855886</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643.5643564356435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7"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8">
        <v>761.51761517615182</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9">
        <v>876.69376693766935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30" start="0" length="0">
      <dxf>
        <alignment horizontal="center" vertical="center" readingOrder="0"/>
        <border outline="0">
          <right style="thin">
            <color indexed="64"/>
          </right>
          <top style="thin">
            <color indexed="64"/>
          </top>
        </border>
      </dxf>
    </rfmt>
    <rfmt sheetId="31" sqref="J31" start="0" length="0">
      <dxf>
        <alignment horizontal="center" vertical="center" readingOrder="0"/>
        <border outline="0">
          <right style="thin">
            <color indexed="64"/>
          </right>
          <bottom style="thin">
            <color indexed="64"/>
          </bottom>
        </border>
      </dxf>
    </rfmt>
    <rfmt sheetId="31" sqref="J3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4" start="0" length="0">
      <dxf>
        <font>
          <sz val="13"/>
          <color auto="1"/>
          <name val="Arial Cyr"/>
          <scheme val="none"/>
        </font>
        <alignment horizontal="center" vertical="center" readingOrder="0"/>
        <border outline="0">
          <left style="thin">
            <color indexed="64"/>
          </left>
          <right style="thin">
            <color indexed="64"/>
          </right>
          <top style="thin">
            <color indexed="64"/>
          </top>
        </border>
      </dxf>
    </rfmt>
    <rfmt sheetId="31" sqref="J3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4"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5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5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5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3"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4"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5"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6"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qref="J5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rc>
  <rcc rId="8871" sId="31" numFmtId="4">
    <nc r="H13">
      <v>213</v>
    </nc>
  </rcc>
  <rcc rId="8872" sId="31" numFmtId="4">
    <nc r="I13">
      <v>266</v>
    </nc>
  </rcc>
  <rcc rId="8873" sId="31" numFmtId="4">
    <nc r="H14">
      <v>240</v>
    </nc>
  </rcc>
  <rcc rId="8874" sId="31" numFmtId="4">
    <nc r="I14">
      <v>300</v>
    </nc>
  </rcc>
  <rcc rId="8875" sId="31" numFmtId="4">
    <nc r="H15">
      <v>160</v>
    </nc>
  </rcc>
  <rcc rId="8876" sId="31" numFmtId="4">
    <nc r="I15">
      <v>200</v>
    </nc>
  </rcc>
  <rcc rId="8877" sId="31" numFmtId="4">
    <nc r="H16">
      <v>155</v>
    </nc>
  </rcc>
  <rcc rId="8878" sId="31" numFmtId="4">
    <nc r="I16">
      <v>258</v>
    </nc>
  </rcc>
  <rcc rId="8879" sId="31" numFmtId="4">
    <nc r="H17">
      <v>185</v>
    </nc>
  </rcc>
  <rcc rId="8880" sId="31" numFmtId="4">
    <nc r="I17">
      <v>308</v>
    </nc>
  </rcc>
  <rcc rId="8881" sId="31" numFmtId="4">
    <nc r="H20">
      <v>240</v>
    </nc>
  </rcc>
  <rcc rId="8882" sId="31" numFmtId="4">
    <nc r="H21">
      <v>275</v>
    </nc>
  </rcc>
  <rcc rId="8883" sId="31" numFmtId="4">
    <nc r="I20">
      <v>328</v>
    </nc>
  </rcc>
  <rcc rId="8884" sId="31" numFmtId="4">
    <nc r="I21">
      <v>376</v>
    </nc>
  </rcc>
  <rcc rId="8885" sId="31" numFmtId="4">
    <nc r="H24">
      <v>262</v>
    </nc>
  </rcc>
  <rcc rId="8886" sId="31" numFmtId="4">
    <nc r="I24">
      <v>291</v>
    </nc>
  </rcc>
  <rcc rId="8887" sId="31" numFmtId="4">
    <nc r="H25">
      <v>287</v>
    </nc>
  </rcc>
  <rcc rId="8888" sId="31" numFmtId="4">
    <nc r="I25">
      <v>318</v>
    </nc>
  </rcc>
  <rcc rId="8889" sId="31" numFmtId="4">
    <nc r="H28">
      <v>291</v>
    </nc>
  </rcc>
  <rcc rId="8890" sId="31" numFmtId="4">
    <nc r="H29">
      <v>335</v>
    </nc>
  </rcc>
  <rcc rId="8891" sId="31" numFmtId="4">
    <nc r="I28">
      <v>398</v>
    </nc>
  </rcc>
  <rcc rId="8892" sId="31" numFmtId="4">
    <nc r="I29">
      <v>458</v>
    </nc>
  </rcc>
  <rcc rId="8893" sId="31" numFmtId="4">
    <nc r="H32">
      <v>274</v>
    </nc>
  </rcc>
  <rcc rId="8894" sId="31" numFmtId="4">
    <nc r="H33">
      <v>316</v>
    </nc>
  </rcc>
  <rcc rId="8895" sId="31" numFmtId="4">
    <nc r="H34">
      <v>295</v>
    </nc>
  </rcc>
  <rcc rId="8896" sId="31" numFmtId="4">
    <nc r="H35">
      <v>106</v>
    </nc>
  </rcc>
  <rcc rId="8897" sId="31" numFmtId="4">
    <nc r="H36">
      <v>122</v>
    </nc>
  </rcc>
  <rcc rId="8898" sId="31" numFmtId="4">
    <nc r="H37">
      <v>115</v>
    </nc>
  </rcc>
  <rcc rId="8899" sId="31" numFmtId="4">
    <nc r="H38">
      <v>90</v>
    </nc>
  </rcc>
  <rcc rId="8900" sId="31" numFmtId="4">
    <nc r="H39">
      <v>102</v>
    </nc>
  </rcc>
  <rcc rId="8901" sId="31" numFmtId="4">
    <nc r="H40">
      <v>100</v>
    </nc>
  </rcc>
  <rcc rId="8902" sId="31" numFmtId="4">
    <nc r="H41">
      <v>202</v>
    </nc>
  </rcc>
  <rcc rId="8903" sId="31" numFmtId="4">
    <nc r="H42">
      <v>210</v>
    </nc>
  </rcc>
  <rcc rId="8904" sId="31" numFmtId="4">
    <nc r="H43">
      <v>156</v>
    </nc>
  </rcc>
  <rcc rId="8905" sId="31" numFmtId="4">
    <nc r="H44">
      <v>88</v>
    </nc>
  </rcc>
  <rcc rId="8906" sId="31" numFmtId="4">
    <nc r="H45">
      <v>305</v>
    </nc>
  </rcc>
  <rcc rId="8907" sId="31" numFmtId="4">
    <nc r="H46">
      <v>347</v>
    </nc>
  </rcc>
  <rcc rId="8908" sId="31" numFmtId="4">
    <nc r="H47">
      <v>1010</v>
    </nc>
  </rcc>
  <rcc rId="8909" sId="31" numFmtId="4">
    <nc r="H48">
      <v>264</v>
    </nc>
  </rcc>
  <rcc rId="8910" sId="31" numFmtId="4">
    <nc r="H49">
      <v>308</v>
    </nc>
  </rcc>
  <rcc rId="8911" sId="31" numFmtId="4">
    <nc r="H50">
      <v>287</v>
    </nc>
  </rcc>
  <rcc rId="8912" sId="31" numFmtId="4">
    <nc r="H51">
      <v>275</v>
    </nc>
  </rcc>
  <rcc rId="8913" sId="31" numFmtId="4">
    <nc r="H52">
      <v>295</v>
    </nc>
  </rcc>
  <rcc rId="8914" sId="31" numFmtId="4">
    <nc r="H53">
      <v>275</v>
    </nc>
  </rcc>
  <rcc rId="8915" sId="31" numFmtId="4">
    <nc r="H54">
      <v>295</v>
    </nc>
  </rcc>
  <rcc rId="8916" sId="31" numFmtId="4">
    <nc r="H55">
      <v>275</v>
    </nc>
  </rcc>
  <rcc rId="8917" sId="31" numFmtId="4">
    <nc r="H56">
      <v>295</v>
    </nc>
  </rcc>
  <rcc rId="8918" sId="31" numFmtId="4">
    <nc r="H57">
      <v>120</v>
    </nc>
  </rcc>
  <rrc rId="8919" sId="31" ref="A3:XFD3" action="deleteRow">
    <rfmt sheetId="31" xfDxf="1" sqref="A3:XFD3" start="0" length="0"/>
  </rrc>
  <rrc rId="8920" sId="31" ref="A3:XFD3" action="deleteRow">
    <rfmt sheetId="31" xfDxf="1" sqref="A3:XFD3" start="0" length="0"/>
  </rrc>
  <rrc rId="8921" sId="31" ref="A3:XFD3" action="deleteRow">
    <rfmt sheetId="31" xfDxf="1" sqref="A3:XFD3" start="0" length="0"/>
  </rrc>
  <rrc rId="8922" sId="31" ref="A3:XFD3" action="deleteRow">
    <rfmt sheetId="31" xfDxf="1" sqref="A3:XFD3" start="0" length="0"/>
  </rrc>
  <rrc rId="8923" sId="31" ref="A3:XFD3" action="deleteRow">
    <rfmt sheetId="31" xfDxf="1" sqref="A3:XFD3" start="0" length="0"/>
  </rrc>
  <rrc rId="8924" sId="31" ref="A3:XFD3" action="deleteRow">
    <rfmt sheetId="31" xfDxf="1" sqref="A3:XFD3" start="0" length="0"/>
  </rrc>
  <rrc rId="8925" sId="31" ref="A3:XFD3" action="deleteRow">
    <rfmt sheetId="31" xfDxf="1" sqref="A3:XFD3" start="0" length="0"/>
  </rrc>
  <rrc rId="8926" sId="31" ref="A3:XFD3" action="deleteRow">
    <rfmt sheetId="31" xfDxf="1" sqref="A3:XFD3" start="0" length="0"/>
  </rrc>
  <rcc rId="8927" sId="31" odxf="1" dxf="1">
    <nc r="A2" t="inlineStr">
      <is>
        <t>ООО "ЦЕНТР-ТИМ"   Платонов Иван 89536104242  centrtim57@mail.ru  28/03/19</t>
      </is>
    </nc>
    <odxf>
      <font>
        <sz val="11"/>
        <color theme="1"/>
        <name val="Calibri"/>
        <scheme val="minor"/>
      </font>
      <fill>
        <patternFill patternType="none">
          <bgColor indexed="65"/>
        </patternFill>
      </fill>
    </odxf>
    <ndxf>
      <font>
        <sz val="22"/>
        <color theme="1"/>
        <name val="Calibri"/>
        <scheme val="minor"/>
      </font>
      <fill>
        <patternFill patternType="solid">
          <bgColor rgb="FF00B0F0"/>
        </patternFill>
      </fill>
    </ndxf>
  </rcc>
  <rfmt sheetId="31" sqref="A2:L2" start="0" length="2147483647">
    <dxf>
      <font>
        <sz val="18"/>
      </font>
    </dxf>
  </rfmt>
  <rfmt sheetId="31" sqref="A2:L2">
    <dxf>
      <fill>
        <patternFill>
          <bgColor rgb="FF00B0F0"/>
        </patternFill>
      </fill>
    </dxf>
  </rfmt>
  <rfmt sheetId="31" sqref="J2:L2">
    <dxf>
      <fill>
        <patternFill>
          <bgColor theme="0"/>
        </patternFill>
      </fill>
    </dxf>
  </rfmt>
  <rrc rId="8928" sId="31" ref="A1:XFD1" action="deleteRow">
    <rfmt sheetId="31" xfDxf="1" sqref="A1:XFD1"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xml><?xml version="1.0" encoding="utf-8"?>
<revisions xmlns="http://schemas.openxmlformats.org/spreadsheetml/2006/main" xmlns:r="http://schemas.openxmlformats.org/officeDocument/2006/relationships">
  <rfmt sheetId="25" sqref="A7:A32">
    <dxf>
      <fill>
        <patternFill patternType="solid">
          <bgColor theme="0" tint="-0.14999847407452621"/>
        </patternFill>
      </fill>
    </dxf>
  </rfmt>
  <rcc rId="7131" sId="25">
    <oc r="A1" t="inlineStr">
      <is>
        <t>ООО "ЦЕНТР-ТИМ"   Платонов Иван 89536104242  centrtim57@mail.ru  15/03/19</t>
      </is>
    </oc>
    <nc r="A1" t="inlineStr">
      <is>
        <t>ООО "ЦЕНТР-ТИМ"   Платонов Иван 89536104242  centrtim57@mail.ru  28/03/19</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1.xml><?xml version="1.0" encoding="utf-8"?>
<revisions xmlns="http://schemas.openxmlformats.org/spreadsheetml/2006/main" xmlns:r="http://schemas.openxmlformats.org/officeDocument/2006/relationships">
  <rrc rId="7093" sId="25" ref="A2:XFD2" action="deleteRow">
    <rfmt sheetId="25" xfDxf="1" sqref="A2:XFD2" start="0" length="0"/>
  </rrc>
  <rrc rId="7094" sId="25" ref="A2:XFD2" action="deleteRow">
    <rfmt sheetId="25" xfDxf="1" sqref="A2:XFD2" start="0" length="0"/>
    <rfmt sheetId="25" sqref="A2" start="0" length="0">
      <dxf>
        <alignment horizontal="left" vertical="top" wrapText="1" readingOrder="0"/>
      </dxf>
    </rfmt>
    <rfmt sheetId="25" sqref="B2" start="0" length="0">
      <dxf>
        <alignment horizontal="left" vertical="top" wrapText="1" readingOrder="0"/>
      </dxf>
    </rfmt>
    <rfmt sheetId="25" sqref="C2" start="0" length="0">
      <dxf>
        <alignment horizontal="left" vertical="top" wrapText="1" readingOrder="0"/>
      </dxf>
    </rfmt>
    <rfmt sheetId="25" sqref="D2" start="0" length="0">
      <dxf>
        <alignment horizontal="left" vertical="top" wrapText="1" readingOrder="0"/>
      </dxf>
    </rfmt>
    <rfmt sheetId="25" sqref="E2" start="0" length="0">
      <dxf>
        <alignment horizontal="left" vertical="top" wrapText="1" readingOrder="0"/>
      </dxf>
    </rfmt>
    <rfmt sheetId="25" sqref="F2" start="0" length="0">
      <dxf>
        <alignment horizontal="left" vertical="top" wrapText="1" readingOrder="0"/>
      </dxf>
    </rfmt>
    <rfmt sheetId="25" sqref="G2" start="0" length="0">
      <dxf>
        <alignment horizontal="left" vertical="top" wrapText="1" readingOrder="0"/>
      </dxf>
    </rfmt>
    <rfmt sheetId="25" sqref="H2" start="0" length="0">
      <dxf>
        <alignment horizontal="left" vertical="top" wrapText="1" readingOrder="0"/>
      </dxf>
    </rfmt>
    <rfmt sheetId="25" sqref="I2" start="0" length="0">
      <dxf>
        <alignment horizontal="left" vertical="top" wrapText="1" readingOrder="0"/>
      </dxf>
    </rfmt>
    <rfmt sheetId="25" sqref="J2" start="0" length="0">
      <dxf>
        <alignment horizontal="left" vertical="top" wrapText="1" readingOrder="0"/>
      </dxf>
    </rfmt>
    <rfmt sheetId="25" sqref="K2" start="0" length="0">
      <dxf>
        <alignment horizontal="left" vertical="top" wrapText="1" readingOrder="0"/>
      </dxf>
    </rfmt>
    <rfmt sheetId="25" sqref="L2" start="0" length="0">
      <dxf>
        <alignment horizontal="left" vertical="top" wrapText="1" readingOrder="0"/>
      </dxf>
    </rfmt>
    <rfmt sheetId="25" sqref="M2" start="0" length="0">
      <dxf>
        <alignment horizontal="left" vertical="top" wrapText="1" readingOrder="0"/>
      </dxf>
    </rfmt>
    <rfmt sheetId="25" sqref="N2" start="0" length="0">
      <dxf>
        <alignment horizontal="left" vertical="top" wrapText="1" readingOrder="0"/>
      </dxf>
    </rfmt>
    <rfmt sheetId="25" sqref="O2" start="0" length="0">
      <dxf>
        <alignment horizontal="left" vertical="top" wrapText="1" readingOrder="0"/>
      </dxf>
    </rfmt>
    <rfmt sheetId="25" sqref="P2" start="0" length="0">
      <dxf>
        <alignment horizontal="left" vertical="top" wrapText="1" readingOrder="0"/>
      </dxf>
    </rfmt>
    <rfmt sheetId="25" sqref="Q2" start="0" length="0">
      <dxf>
        <alignment horizontal="left" vertical="top" wrapText="1" readingOrder="0"/>
      </dxf>
    </rfmt>
    <rfmt sheetId="25" sqref="R2" start="0" length="0">
      <dxf>
        <alignment horizontal="left" vertical="top" wrapText="1" readingOrder="0"/>
      </dxf>
    </rfmt>
    <rfmt sheetId="25" sqref="S2" start="0" length="0">
      <dxf>
        <alignment horizontal="left" vertical="top" wrapText="1" readingOrder="0"/>
        <border outline="0">
          <right style="thin">
            <color rgb="FF000000"/>
          </right>
        </border>
      </dxf>
    </rfmt>
    <rcc rId="0" sId="25" dxf="1" numFmtId="19">
      <nc r="T2">
        <v>43502</v>
      </nc>
      <ndxf>
        <font>
          <b/>
          <sz val="7"/>
          <color rgb="FF000000"/>
          <name val="Arial"/>
          <scheme val="none"/>
        </font>
        <numFmt numFmtId="167" formatCode="dd\.mm\.yyyy;@"/>
        <fill>
          <patternFill patternType="solid">
            <bgColor rgb="FFFF99CC"/>
          </patternFill>
        </fill>
        <alignment horizontal="center" vertical="top" shrinkToFit="1" readingOrder="0"/>
        <border outline="0">
          <left style="thin">
            <color rgb="FF000000"/>
          </left>
          <top style="thin">
            <color rgb="FF000000"/>
          </top>
          <bottom style="thin">
            <color rgb="FF000000"/>
          </bottom>
        </border>
      </ndxf>
    </rcc>
    <rfmt sheetId="25" sqref="U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V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W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X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Y2" start="0" length="0">
      <dxf>
        <font>
          <b/>
          <sz val="7"/>
          <color rgb="FF000000"/>
          <name val="Arial"/>
          <scheme val="none"/>
        </font>
        <numFmt numFmtId="167" formatCode="dd\.mm\.yyyy;@"/>
        <fill>
          <patternFill patternType="solid">
            <bgColor rgb="FFFF99CC"/>
          </patternFill>
        </fill>
        <alignment horizontal="center" vertical="top" shrinkToFit="1" readingOrder="0"/>
        <border outline="0">
          <right style="thin">
            <color rgb="FF000000"/>
          </right>
          <top style="thin">
            <color rgb="FF000000"/>
          </top>
          <bottom style="thin">
            <color rgb="FF000000"/>
          </bottom>
        </border>
      </dxf>
    </rfmt>
  </rrc>
  <rfmt sheetId="25" sqref="A2:E2">
    <dxf>
      <fill>
        <patternFill patternType="solid">
          <bgColor rgb="FFFFFF00"/>
        </patternFill>
      </fill>
    </dxf>
  </rfmt>
  <rfmt sheetId="25" sqref="F3:S3">
    <dxf>
      <fill>
        <patternFill patternType="solid">
          <bgColor theme="0" tint="-0.14999847407452621"/>
        </patternFill>
      </fill>
    </dxf>
  </rfmt>
  <rfmt sheetId="25" sqref="A1:S1">
    <dxf>
      <fill>
        <patternFill>
          <bgColor rgb="FF00B0F0"/>
        </patternFill>
      </fill>
    </dxf>
  </rfmt>
  <rfmt sheetId="25" sqref="F2" start="0" length="2147483647">
    <dxf>
      <font>
        <u/>
      </font>
    </dxf>
  </rfmt>
  <rfmt sheetId="25" sqref="F2">
    <dxf>
      <fill>
        <patternFill patternType="solid">
          <bgColor rgb="FFFF0000"/>
        </patternFill>
      </fill>
    </dxf>
  </rfmt>
  <rfmt sheetId="25" sqref="F6:S6">
    <dxf>
      <fill>
        <patternFill patternType="solid">
          <bgColor theme="0" tint="-0.14999847407452621"/>
        </patternFill>
      </fill>
    </dxf>
  </rfmt>
  <rfmt sheetId="25" sqref="T4:Y4">
    <dxf>
      <fill>
        <patternFill patternType="solid">
          <bgColor theme="0" tint="-0.14999847407452621"/>
        </patternFill>
      </fill>
    </dxf>
  </rfmt>
  <rfmt sheetId="25" sqref="T2" start="0" length="2147483647">
    <dxf>
      <font>
        <sz val="10"/>
      </font>
    </dxf>
  </rfmt>
  <rfmt sheetId="25" sqref="T2" start="0" length="2147483647">
    <dxf>
      <font>
        <u/>
      </font>
    </dxf>
  </rfmt>
  <rfmt sheetId="25" sqref="T2">
    <dxf>
      <fill>
        <patternFill patternType="solid">
          <bgColor rgb="FFFF000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11.xml><?xml version="1.0" encoding="utf-8"?>
<revisions xmlns="http://schemas.openxmlformats.org/spreadsheetml/2006/main" xmlns:r="http://schemas.openxmlformats.org/officeDocument/2006/relationships">
  <rcc rId="7055" sId="24" odxf="1" dxf="1">
    <nc r="A2" t="inlineStr">
      <is>
        <t>ООО "ЦЕНТР-ТИМ"   Платонов Иван 89536104242  centrtim57@mail.ru  15/03/19</t>
      </is>
    </nc>
    <odxf>
      <font>
        <b val="0"/>
        <sz val="11"/>
        <color theme="1"/>
        <name val="Calibri"/>
        <scheme val="minor"/>
      </font>
      <alignment vertical="top" wrapText="1" readingOrder="0"/>
    </odxf>
    <ndxf>
      <font>
        <b/>
        <sz val="12"/>
        <color theme="1"/>
        <name val="Calibri"/>
        <scheme val="minor"/>
      </font>
      <alignment vertical="bottom" wrapText="0" readingOrder="0"/>
    </ndxf>
  </rcc>
  <rfmt sheetId="24" sqref="B2" start="0" length="0">
    <dxf>
      <font>
        <b/>
        <sz val="12"/>
        <color theme="1"/>
        <name val="Calibri"/>
        <scheme val="minor"/>
      </font>
      <alignment vertical="bottom" wrapText="0" readingOrder="0"/>
    </dxf>
  </rfmt>
  <rfmt sheetId="24" sqref="C2" start="0" length="0">
    <dxf>
      <font>
        <b/>
        <sz val="12"/>
        <color theme="1"/>
        <name val="Calibri"/>
        <scheme val="minor"/>
      </font>
      <alignment vertical="bottom" wrapText="0" readingOrder="0"/>
    </dxf>
  </rfmt>
  <rfmt sheetId="24" sqref="D2" start="0" length="0">
    <dxf>
      <font>
        <b/>
        <sz val="12"/>
        <color theme="1"/>
        <name val="Calibri"/>
        <scheme val="minor"/>
      </font>
      <alignment vertical="bottom" wrapText="0" readingOrder="0"/>
    </dxf>
  </rfmt>
  <rfmt sheetId="24" sqref="A2:D2" start="0" length="2147483647">
    <dxf>
      <font>
        <sz val="18"/>
      </font>
    </dxf>
  </rfmt>
  <rfmt sheetId="24" sqref="A2:D2" start="0" length="2147483647">
    <dxf>
      <font>
        <sz val="16"/>
      </font>
    </dxf>
  </rfmt>
  <rfmt sheetId="24" sqref="E3">
    <dxf>
      <fill>
        <patternFill>
          <bgColor theme="0"/>
        </patternFill>
      </fill>
    </dxf>
  </rfmt>
  <rfmt sheetId="24" sqref="A2:F2">
    <dxf>
      <fill>
        <patternFill patternType="solid">
          <bgColor rgb="FFFFC000"/>
        </patternFill>
      </fill>
    </dxf>
  </rfmt>
  <rfmt sheetId="24" sqref="A2:F2">
    <dxf>
      <fill>
        <patternFill>
          <bgColor rgb="FF00B0F0"/>
        </patternFill>
      </fill>
    </dxf>
  </rfmt>
  <rfmt sheetId="25" sqref="A9:A34" start="0" length="2147483647">
    <dxf>
      <font>
        <sz val="12"/>
      </font>
    </dxf>
  </rfmt>
  <rfmt sheetId="25" sqref="A9:A34" start="0" length="2147483647">
    <dxf>
      <font>
        <b/>
      </font>
    </dxf>
  </rfmt>
  <rfmt sheetId="25" sqref="C9:W33" start="0" length="2147483647">
    <dxf>
      <font>
        <sz val="10"/>
      </font>
    </dxf>
  </rfmt>
  <rfmt sheetId="25" sqref="F5:S5" start="0" length="2147483647">
    <dxf>
      <font>
        <sz val="11"/>
      </font>
    </dxf>
  </rfmt>
  <rfmt sheetId="25" sqref="T5" start="0" length="2147483647">
    <dxf>
      <font>
        <sz val="10"/>
      </font>
    </dxf>
  </rfmt>
  <rcc rId="7056" sId="25" odxf="1" dxf="1">
    <nc r="A1" t="inlineStr">
      <is>
        <t>ООО "ЦЕНТР-ТИМ"   Платонов Иван 89536104242  centrtim57@mail.ru  15/03/19</t>
      </is>
    </nc>
    <odxf>
      <font>
        <b val="0"/>
        <sz val="11"/>
        <color theme="1"/>
        <name val="Calibri"/>
        <scheme val="minor"/>
      </font>
      <fill>
        <patternFill patternType="none">
          <bgColor indexed="65"/>
        </patternFill>
      </fill>
    </odxf>
    <ndxf>
      <font>
        <b/>
        <sz val="16"/>
        <color theme="1"/>
        <name val="Calibri"/>
        <scheme val="minor"/>
      </font>
      <fill>
        <patternFill patternType="solid">
          <bgColor rgb="FF00B0F0"/>
        </patternFill>
      </fill>
    </ndxf>
  </rcc>
  <rfmt sheetId="25" sqref="B1" start="0" length="0">
    <dxf>
      <font>
        <b/>
        <sz val="16"/>
        <color theme="1"/>
        <name val="Calibri"/>
        <scheme val="minor"/>
      </font>
      <fill>
        <patternFill patternType="solid">
          <bgColor rgb="FF00B0F0"/>
        </patternFill>
      </fill>
    </dxf>
  </rfmt>
  <rfmt sheetId="25" sqref="C1" start="0" length="0">
    <dxf>
      <font>
        <b/>
        <sz val="16"/>
        <color theme="1"/>
        <name val="Calibri"/>
        <scheme val="minor"/>
      </font>
      <fill>
        <patternFill patternType="solid">
          <bgColor rgb="FF00B0F0"/>
        </patternFill>
      </fill>
    </dxf>
  </rfmt>
  <rfmt sheetId="25" sqref="D1" start="0" length="0">
    <dxf>
      <font>
        <b/>
        <sz val="16"/>
        <color theme="1"/>
        <name val="Calibri"/>
        <scheme val="minor"/>
      </font>
      <fill>
        <patternFill patternType="solid">
          <bgColor rgb="FF00B0F0"/>
        </patternFill>
      </fill>
    </dxf>
  </rfmt>
  <rfmt sheetId="25" sqref="E1" start="0" length="0">
    <dxf>
      <fill>
        <patternFill patternType="solid">
          <bgColor rgb="FF00B0F0"/>
        </patternFill>
      </fill>
      <alignment vertical="top" wrapText="1" readingOrder="0"/>
    </dxf>
  </rfmt>
  <rfmt sheetId="25" sqref="F1" start="0" length="0">
    <dxf>
      <fill>
        <patternFill patternType="solid">
          <bgColor rgb="FF00B0F0"/>
        </patternFill>
      </fill>
    </dxf>
  </rfmt>
  <rfmt sheetId="25" sqref="A1:K1" start="0" length="2147483647">
    <dxf>
      <font>
        <sz val="20"/>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111.xml><?xml version="1.0" encoding="utf-8"?>
<revisions xmlns="http://schemas.openxmlformats.org/spreadsheetml/2006/main" xmlns:r="http://schemas.openxmlformats.org/officeDocument/2006/relationships">
  <ris rId="6326" sheetId="25" name="[ПРАЙС ЦЕНТР-ТИМ 2019 обновленный.xlsx]Лист2" sheetPosition="24"/>
  <rfmt sheetId="25" sqref="A3" start="0" length="0">
    <dxf>
      <alignment horizontal="left" vertical="top" wrapText="1" readingOrder="0"/>
    </dxf>
  </rfmt>
  <rfmt sheetId="25" sqref="B3" start="0" length="0">
    <dxf>
      <alignment horizontal="left" vertical="top" wrapText="1" readingOrder="0"/>
    </dxf>
  </rfmt>
  <rfmt sheetId="25" sqref="C3" start="0" length="0">
    <dxf>
      <alignment horizontal="left" vertical="top" wrapText="1" readingOrder="0"/>
    </dxf>
  </rfmt>
  <rfmt sheetId="25" sqref="D3" start="0" length="0">
    <dxf>
      <alignment horizontal="left" vertical="top" wrapText="1" readingOrder="0"/>
    </dxf>
  </rfmt>
  <rfmt sheetId="25" sqref="E3" start="0" length="0">
    <dxf>
      <alignment horizontal="left" vertical="top" wrapText="1" readingOrder="0"/>
      <border outline="0">
        <right style="thin">
          <color rgb="FF000000"/>
        </right>
      </border>
    </dxf>
  </rfmt>
  <rcc rId="6327" sId="25" odxf="1" dxf="1" numFmtId="13">
    <nc r="F3">
      <v>0.1</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28" sId="25" odxf="1" dxf="1" numFmtId="13">
    <nc r="G3">
      <v>0.1</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29" sId="25" odxf="1" dxf="1" numFmtId="13">
    <nc r="H3">
      <v>0.1</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0" sId="25" odxf="1" dxf="1" numFmtId="13">
    <nc r="I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1" sId="25" odxf="1" dxf="1" numFmtId="13">
    <nc r="J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2" sId="25" odxf="1" dxf="1" numFmtId="13">
    <nc r="K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3" sId="25" odxf="1" dxf="1" numFmtId="13">
    <nc r="L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4" sId="25" odxf="1" dxf="1" numFmtId="13">
    <nc r="M3">
      <v>0.12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5" sId="25" odxf="1" dxf="1" numFmtId="13">
    <nc r="N3">
      <v>7.0000000000000007E-2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6" sId="25" odxf="1" dxf="1" numFmtId="13">
    <nc r="O3">
      <v>0.15</v>
    </nc>
    <odxf>
      <font>
        <b val="0"/>
        <sz val="11"/>
        <color theme="1"/>
        <name val="Calibri"/>
        <scheme val="minor"/>
      </font>
      <numFmt numFmtId="0" formatCode="General"/>
      <fill>
        <patternFill patternType="none">
          <bgColor indexed="65"/>
        </patternFill>
      </fill>
      <alignment horizontal="general" vertical="bottom" indent="0" relativeIndent="0" shrinkToFit="0" readingOrder="0"/>
      <border outline="0">
        <left/>
        <right/>
        <top/>
        <bottom/>
      </border>
    </odxf>
    <ndxf>
      <font>
        <b/>
        <sz val="7"/>
        <color rgb="FF000000"/>
        <name val="Arial"/>
        <scheme val="none"/>
      </font>
      <numFmt numFmtId="13" formatCode="0%"/>
      <fill>
        <patternFill patternType="solid">
          <bgColor rgb="FFFFCC00"/>
        </patternFill>
      </fill>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337" sId="25" odxf="1" dxf="1" numFmtId="13">
    <nc r="P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left" vertical="top" shrinkToFit="1" readingOrder="0"/>
      <border outline="0">
        <left style="thin">
          <color rgb="FF000000"/>
        </left>
        <right style="thin">
          <color rgb="FF000000"/>
        </right>
        <top style="thin">
          <color rgb="FF000000"/>
        </top>
        <bottom style="thin">
          <color rgb="FF000000"/>
        </bottom>
      </border>
    </ndxf>
  </rcc>
  <rcc rId="6338" sId="25" odxf="1" dxf="1" numFmtId="13">
    <nc r="Q3">
      <v>0.12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9" sId="25" odxf="1" dxf="1" numFmtId="13">
    <nc r="R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40" sId="25" odxf="1" dxf="1" numFmtId="13">
    <nc r="S3">
      <v>0.12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41" sId="25" odxf="1" dxf="1">
    <nc r="T3" t="inlineStr">
      <is>
        <r>
          <rPr>
            <b/>
            <sz val="7"/>
            <rFont val="Arial"/>
            <family val="2"/>
          </rPr>
          <t>по согласованию</t>
        </r>
      </is>
    </nc>
    <odxf>
      <font>
        <b val="0"/>
        <sz val="11"/>
        <color theme="1"/>
        <name val="Calibri"/>
        <scheme val="minor"/>
      </font>
      <fill>
        <patternFill patternType="none">
          <bgColor indexed="65"/>
        </patternFill>
      </fill>
      <alignment horizontal="general" vertical="bottom" wrapText="0" indent="0" relativeIndent="0" readingOrder="0"/>
      <border outline="0">
        <left/>
        <top/>
        <bottom/>
      </border>
    </odxf>
    <ndxf>
      <font>
        <b/>
        <sz val="7"/>
        <color auto="1"/>
        <name val="Arial"/>
        <scheme val="none"/>
      </font>
      <fill>
        <patternFill patternType="solid">
          <bgColor rgb="FFFFCC00"/>
        </patternFill>
      </fill>
      <alignment horizontal="left" vertical="top" wrapText="1" indent="5" relativeIndent="0" readingOrder="0"/>
      <border outline="0">
        <left style="thin">
          <color rgb="FF000000"/>
        </left>
        <top style="thin">
          <color rgb="FF000000"/>
        </top>
        <bottom style="thin">
          <color rgb="FF000000"/>
        </bottom>
      </border>
    </ndxf>
  </rcc>
  <rfmt sheetId="25" sqref="U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V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W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X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Y3" start="0" length="0">
    <dxf>
      <font>
        <b/>
        <sz val="7"/>
        <color auto="1"/>
        <name val="Arial"/>
        <scheme val="none"/>
      </font>
      <fill>
        <patternFill patternType="solid">
          <bgColor rgb="FFFFCC00"/>
        </patternFill>
      </fill>
      <alignment horizontal="left" vertical="top" wrapText="1" indent="5" relativeIndent="0" readingOrder="0"/>
      <border outline="0">
        <right style="thin">
          <color rgb="FF000000"/>
        </right>
        <top style="thin">
          <color rgb="FF000000"/>
        </top>
        <bottom style="thin">
          <color rgb="FF000000"/>
        </bottom>
      </border>
    </dxf>
  </rfmt>
  <rfmt sheetId="25" sqref="A4" start="0" length="0">
    <dxf>
      <alignment horizontal="left" vertical="top" wrapText="1" readingOrder="0"/>
    </dxf>
  </rfmt>
  <rfmt sheetId="25" sqref="B4" start="0" length="0">
    <dxf>
      <alignment horizontal="left" vertical="top" wrapText="1" readingOrder="0"/>
    </dxf>
  </rfmt>
  <rfmt sheetId="25" sqref="C4" start="0" length="0">
    <dxf>
      <alignment horizontal="left" vertical="top" wrapText="1" readingOrder="0"/>
    </dxf>
  </rfmt>
  <rfmt sheetId="25" sqref="D4" start="0" length="0">
    <dxf>
      <alignment horizontal="left" vertical="top" wrapText="1" readingOrder="0"/>
    </dxf>
  </rfmt>
  <rfmt sheetId="25" sqref="E4" start="0" length="0">
    <dxf>
      <alignment horizontal="left" vertical="top" wrapText="1" readingOrder="0"/>
    </dxf>
  </rfmt>
  <rfmt sheetId="25" sqref="F4" start="0" length="0">
    <dxf>
      <alignment horizontal="left" vertical="top" wrapText="1" readingOrder="0"/>
    </dxf>
  </rfmt>
  <rfmt sheetId="25" sqref="G4" start="0" length="0">
    <dxf>
      <alignment horizontal="left" vertical="top" wrapText="1" readingOrder="0"/>
    </dxf>
  </rfmt>
  <rfmt sheetId="25" sqref="H4" start="0" length="0">
    <dxf>
      <alignment horizontal="left" vertical="top" wrapText="1" readingOrder="0"/>
    </dxf>
  </rfmt>
  <rfmt sheetId="25" sqref="I4" start="0" length="0">
    <dxf>
      <alignment horizontal="left" vertical="top" wrapText="1" readingOrder="0"/>
    </dxf>
  </rfmt>
  <rfmt sheetId="25" sqref="J4" start="0" length="0">
    <dxf>
      <alignment horizontal="left" vertical="top" wrapText="1" readingOrder="0"/>
    </dxf>
  </rfmt>
  <rfmt sheetId="25" sqref="K4" start="0" length="0">
    <dxf>
      <alignment horizontal="left" vertical="top" wrapText="1" readingOrder="0"/>
    </dxf>
  </rfmt>
  <rfmt sheetId="25" sqref="L4" start="0" length="0">
    <dxf>
      <alignment horizontal="left" vertical="top" wrapText="1" readingOrder="0"/>
    </dxf>
  </rfmt>
  <rfmt sheetId="25" sqref="M4" start="0" length="0">
    <dxf>
      <alignment horizontal="left" vertical="top" wrapText="1" readingOrder="0"/>
    </dxf>
  </rfmt>
  <rfmt sheetId="25" sqref="N4" start="0" length="0">
    <dxf>
      <alignment horizontal="left" vertical="top" wrapText="1" readingOrder="0"/>
    </dxf>
  </rfmt>
  <rfmt sheetId="25" sqref="O4" start="0" length="0">
    <dxf>
      <alignment horizontal="left" vertical="top" wrapText="1" readingOrder="0"/>
    </dxf>
  </rfmt>
  <rfmt sheetId="25" sqref="P4" start="0" length="0">
    <dxf>
      <alignment horizontal="left" vertical="top" wrapText="1" readingOrder="0"/>
    </dxf>
  </rfmt>
  <rfmt sheetId="25" sqref="Q4" start="0" length="0">
    <dxf>
      <alignment horizontal="left" vertical="top" wrapText="1" readingOrder="0"/>
    </dxf>
  </rfmt>
  <rfmt sheetId="25" sqref="R4" start="0" length="0">
    <dxf>
      <alignment horizontal="left" vertical="top" wrapText="1" readingOrder="0"/>
    </dxf>
  </rfmt>
  <rfmt sheetId="25" sqref="S4" start="0" length="0">
    <dxf>
      <alignment horizontal="left" vertical="top" wrapText="1" readingOrder="0"/>
      <border outline="0">
        <right style="thin">
          <color rgb="FF000000"/>
        </right>
      </border>
    </dxf>
  </rfmt>
  <rcc rId="6342" sId="25" odxf="1" dxf="1" numFmtId="19">
    <nc r="T4">
      <v>43502</v>
    </nc>
    <odxf>
      <font>
        <b val="0"/>
        <sz val="11"/>
        <color theme="1"/>
        <name val="Calibri"/>
        <scheme val="minor"/>
      </font>
      <numFmt numFmtId="0" formatCode="General"/>
      <fill>
        <patternFill patternType="none">
          <bgColor indexed="65"/>
        </patternFill>
      </fill>
      <alignment horizontal="general" vertical="bottom" shrinkToFit="0" readingOrder="0"/>
      <border outline="0">
        <left/>
        <top/>
        <bottom/>
      </border>
    </odxf>
    <ndxf>
      <font>
        <b/>
        <sz val="7"/>
        <color rgb="FF000000"/>
        <name val="Arial"/>
        <scheme val="none"/>
      </font>
      <numFmt numFmtId="167" formatCode="dd\.mm\.yyyy;@"/>
      <fill>
        <patternFill patternType="solid">
          <bgColor rgb="FFFF99CC"/>
        </patternFill>
      </fill>
      <alignment horizontal="center" vertical="top" shrinkToFit="1" readingOrder="0"/>
      <border outline="0">
        <left style="thin">
          <color rgb="FF000000"/>
        </left>
        <top style="thin">
          <color rgb="FF000000"/>
        </top>
        <bottom style="thin">
          <color rgb="FF000000"/>
        </bottom>
      </border>
    </ndxf>
  </rcc>
  <rfmt sheetId="25" sqref="U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V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W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X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Y4" start="0" length="0">
    <dxf>
      <font>
        <b/>
        <sz val="7"/>
        <color rgb="FF000000"/>
        <name val="Arial"/>
        <scheme val="none"/>
      </font>
      <numFmt numFmtId="167" formatCode="dd\.mm\.yyyy;@"/>
      <fill>
        <patternFill patternType="solid">
          <bgColor rgb="FFFF99CC"/>
        </patternFill>
      </fill>
      <alignment horizontal="center" vertical="top" shrinkToFit="1" readingOrder="0"/>
      <border outline="0">
        <right style="thin">
          <color rgb="FF000000"/>
        </right>
        <top style="thin">
          <color rgb="FF000000"/>
        </top>
        <bottom style="thin">
          <color rgb="FF000000"/>
        </bottom>
      </border>
    </dxf>
  </rfmt>
  <rcc rId="6343" sId="25" odxf="1" dxf="1">
    <nc r="A5" t="inlineStr">
      <is>
        <r>
          <rPr>
            <b/>
            <sz val="7"/>
            <rFont val="Arial"/>
            <family val="2"/>
          </rPr>
          <t>НАИМЕНОВАНИЕ</t>
        </r>
      </is>
    </nc>
    <odxf>
      <font>
        <b val="0"/>
        <sz val="11"/>
        <color theme="1"/>
        <name val="Calibri"/>
        <scheme val="minor"/>
      </font>
      <alignment horizontal="general" vertical="bottom" wrapText="0" indent="0" relativeIndent="0" readingOrder="0"/>
      <border outline="0">
        <left/>
        <top/>
      </border>
    </odxf>
    <ndxf>
      <font>
        <b/>
        <sz val="7"/>
        <color auto="1"/>
        <name val="Arial"/>
        <scheme val="none"/>
      </font>
      <alignment horizontal="left" vertical="center" wrapText="1" indent="6" relativeIndent="0" readingOrder="0"/>
      <border outline="0">
        <left style="thin">
          <color rgb="FF000000"/>
        </left>
        <top style="thin">
          <color rgb="FF000000"/>
        </top>
      </border>
    </ndxf>
  </rcc>
  <rfmt sheetId="25" sqref="B5" start="0" length="0">
    <dxf>
      <font>
        <b/>
        <sz val="7"/>
        <color auto="1"/>
        <name val="Arial"/>
        <scheme val="none"/>
      </font>
      <alignment horizontal="left" vertical="center" wrapText="1" indent="6" relativeIndent="0" readingOrder="0"/>
      <border outline="0">
        <right style="thin">
          <color rgb="FF000000"/>
        </right>
        <top style="thin">
          <color rgb="FF000000"/>
        </top>
      </border>
    </dxf>
  </rfmt>
  <rcc rId="6344" sId="25" odxf="1" dxf="1">
    <nc r="C5" t="inlineStr">
      <is>
        <r>
          <rPr>
            <b/>
            <sz val="7"/>
            <rFont val="Arial"/>
            <family val="2"/>
          </rPr>
          <t>Полная ширина, мм</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45" sId="25" odxf="1" dxf="1">
    <nc r="D5" t="inlineStr">
      <is>
        <r>
          <rPr>
            <b/>
            <sz val="7"/>
            <rFont val="Arial"/>
            <family val="2"/>
          </rPr>
          <t>Рабочая ширина, мм</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46" sId="25" odxf="1" dxf="1">
    <nc r="E5" t="inlineStr">
      <is>
        <r>
          <rPr>
            <b/>
            <sz val="7"/>
            <rFont val="Arial"/>
            <family val="2"/>
          </rPr>
          <t>Единица измерения</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47" sId="25" odxf="1" dxf="1">
    <nc r="F5" t="inlineStr">
      <is>
        <r>
          <rPr>
            <b/>
            <sz val="7"/>
            <rFont val="Arial"/>
            <family val="2"/>
          </rPr>
          <t>ПОКРЫТИЕ</t>
        </r>
      </is>
    </nc>
    <odxf>
      <font>
        <b val="0"/>
        <sz val="11"/>
        <color theme="1"/>
        <name val="Calibri"/>
        <scheme val="minor"/>
      </font>
      <alignment horizontal="general" vertical="bottom" wrapText="0" readingOrder="0"/>
      <border outline="0">
        <left/>
        <bottom/>
      </border>
    </odxf>
    <ndxf>
      <font>
        <b/>
        <sz val="7"/>
        <color auto="1"/>
        <name val="Arial"/>
        <scheme val="none"/>
      </font>
      <alignment horizontal="center" vertical="top" wrapText="1" readingOrder="0"/>
      <border outline="0">
        <left style="thin">
          <color rgb="FF000000"/>
        </left>
        <bottom style="thin">
          <color rgb="FF000000"/>
        </bottom>
      </border>
    </ndxf>
  </rcc>
  <rfmt sheetId="25" sqref="G5" start="0" length="0">
    <dxf>
      <font>
        <b/>
        <sz val="7"/>
        <color auto="1"/>
        <name val="Arial"/>
        <scheme val="none"/>
      </font>
      <alignment horizontal="center" vertical="top" wrapText="1" readingOrder="0"/>
      <border outline="0">
        <bottom style="thin">
          <color rgb="FF000000"/>
        </bottom>
      </border>
    </dxf>
  </rfmt>
  <rfmt sheetId="25" sqref="H5" start="0" length="0">
    <dxf>
      <font>
        <b/>
        <sz val="7"/>
        <color auto="1"/>
        <name val="Arial"/>
        <scheme val="none"/>
      </font>
      <alignment horizontal="center" vertical="top" wrapText="1" readingOrder="0"/>
      <border outline="0">
        <bottom style="thin">
          <color rgb="FF000000"/>
        </bottom>
      </border>
    </dxf>
  </rfmt>
  <rfmt sheetId="25" sqref="I5" start="0" length="0">
    <dxf>
      <font>
        <b/>
        <sz val="7"/>
        <color auto="1"/>
        <name val="Arial"/>
        <scheme val="none"/>
      </font>
      <alignment horizontal="center" vertical="top" wrapText="1" readingOrder="0"/>
      <border outline="0">
        <bottom style="thin">
          <color rgb="FF000000"/>
        </bottom>
      </border>
    </dxf>
  </rfmt>
  <rfmt sheetId="25" sqref="J5" start="0" length="0">
    <dxf>
      <font>
        <b/>
        <sz val="7"/>
        <color auto="1"/>
        <name val="Arial"/>
        <scheme val="none"/>
      </font>
      <alignment horizontal="center" vertical="top" wrapText="1" readingOrder="0"/>
      <border outline="0">
        <bottom style="thin">
          <color rgb="FF000000"/>
        </bottom>
      </border>
    </dxf>
  </rfmt>
  <rfmt sheetId="25" sqref="K5" start="0" length="0">
    <dxf>
      <font>
        <b/>
        <sz val="7"/>
        <color auto="1"/>
        <name val="Arial"/>
        <scheme val="none"/>
      </font>
      <alignment horizontal="center" vertical="top" wrapText="1" readingOrder="0"/>
      <border outline="0">
        <bottom style="thin">
          <color rgb="FF000000"/>
        </bottom>
      </border>
    </dxf>
  </rfmt>
  <rfmt sheetId="25" sqref="L5" start="0" length="0">
    <dxf>
      <font>
        <b/>
        <sz val="7"/>
        <color auto="1"/>
        <name val="Arial"/>
        <scheme val="none"/>
      </font>
      <alignment horizontal="center" vertical="top" wrapText="1" readingOrder="0"/>
      <border outline="0">
        <bottom style="thin">
          <color rgb="FF000000"/>
        </bottom>
      </border>
    </dxf>
  </rfmt>
  <rfmt sheetId="25" sqref="M5" start="0" length="0">
    <dxf>
      <font>
        <b/>
        <sz val="7"/>
        <color auto="1"/>
        <name val="Arial"/>
        <scheme val="none"/>
      </font>
      <alignment horizontal="center" vertical="top" wrapText="1" readingOrder="0"/>
      <border outline="0">
        <bottom style="thin">
          <color rgb="FF000000"/>
        </bottom>
      </border>
    </dxf>
  </rfmt>
  <rfmt sheetId="25" sqref="N5" start="0" length="0">
    <dxf>
      <font>
        <b/>
        <sz val="7"/>
        <color auto="1"/>
        <name val="Arial"/>
        <scheme val="none"/>
      </font>
      <alignment horizontal="center" vertical="top" wrapText="1" readingOrder="0"/>
      <border outline="0">
        <bottom style="thin">
          <color rgb="FF000000"/>
        </bottom>
      </border>
    </dxf>
  </rfmt>
  <rfmt sheetId="25" sqref="O5" start="0" length="0">
    <dxf>
      <font>
        <b/>
        <sz val="7"/>
        <color auto="1"/>
        <name val="Arial"/>
        <scheme val="none"/>
      </font>
      <alignment horizontal="center" vertical="top" wrapText="1" readingOrder="0"/>
      <border outline="0">
        <bottom style="thin">
          <color rgb="FF000000"/>
        </bottom>
      </border>
    </dxf>
  </rfmt>
  <rfmt sheetId="25" sqref="P5" start="0" length="0">
    <dxf>
      <font>
        <b/>
        <sz val="7"/>
        <color auto="1"/>
        <name val="Arial"/>
        <scheme val="none"/>
      </font>
      <alignment horizontal="center" vertical="top" wrapText="1" readingOrder="0"/>
      <border outline="0">
        <bottom style="thin">
          <color rgb="FF000000"/>
        </bottom>
      </border>
    </dxf>
  </rfmt>
  <rfmt sheetId="25" sqref="Q5" start="0" length="0">
    <dxf>
      <font>
        <b/>
        <sz val="7"/>
        <color auto="1"/>
        <name val="Arial"/>
        <scheme val="none"/>
      </font>
      <alignment horizontal="center" vertical="top" wrapText="1" readingOrder="0"/>
      <border outline="0">
        <bottom style="thin">
          <color rgb="FF000000"/>
        </bottom>
      </border>
    </dxf>
  </rfmt>
  <rfmt sheetId="25" sqref="R5" start="0" length="0">
    <dxf>
      <font>
        <b/>
        <sz val="7"/>
        <color auto="1"/>
        <name val="Arial"/>
        <scheme val="none"/>
      </font>
      <alignment horizontal="center" vertical="top" wrapText="1" readingOrder="0"/>
      <border outline="0">
        <bottom style="thin">
          <color rgb="FF000000"/>
        </bottom>
      </border>
    </dxf>
  </rfmt>
  <rfmt sheetId="25" sqref="S5" start="0" length="0">
    <dxf>
      <font>
        <b/>
        <sz val="7"/>
        <color auto="1"/>
        <name val="Arial"/>
        <scheme val="none"/>
      </font>
      <alignment horizontal="center" vertical="top" wrapText="1" readingOrder="0"/>
      <border outline="0">
        <right style="thin">
          <color rgb="FF000000"/>
        </right>
        <bottom style="thin">
          <color rgb="FF000000"/>
        </bottom>
      </border>
    </dxf>
  </rfmt>
  <rcc rId="6348" sId="25" odxf="1" dxf="1">
    <nc r="T5" t="inlineStr">
      <is>
        <r>
          <rPr>
            <b/>
            <sz val="7"/>
            <rFont val="Arial"/>
            <family val="2"/>
          </rPr>
          <t>ЦИНК</t>
        </r>
      </is>
    </nc>
    <odxf>
      <font>
        <b val="0"/>
        <sz val="11"/>
        <color theme="1"/>
        <name val="Calibri"/>
        <scheme val="minor"/>
      </font>
      <alignment horizontal="general" vertical="bottom" wrapText="0" readingOrder="0"/>
      <border outline="0">
        <left/>
        <top/>
        <bottom/>
      </border>
    </odxf>
    <ndxf>
      <font>
        <b/>
        <sz val="7"/>
        <color auto="1"/>
        <name val="Arial"/>
        <scheme val="none"/>
      </font>
      <alignment horizontal="center" vertical="top" wrapText="1" readingOrder="0"/>
      <border outline="0">
        <left style="thin">
          <color rgb="FF000000"/>
        </left>
        <top style="thin">
          <color rgb="FF000000"/>
        </top>
        <bottom style="thin">
          <color rgb="FF000000"/>
        </bottom>
      </border>
    </ndxf>
  </rcc>
  <rfmt sheetId="25" sqref="U5" start="0" length="0">
    <dxf>
      <font>
        <b/>
        <sz val="7"/>
        <color auto="1"/>
        <name val="Arial"/>
        <scheme val="none"/>
      </font>
      <alignment horizontal="center" vertical="top" wrapText="1" readingOrder="0"/>
      <border outline="0">
        <top style="thin">
          <color rgb="FF000000"/>
        </top>
        <bottom style="thin">
          <color rgb="FF000000"/>
        </bottom>
      </border>
    </dxf>
  </rfmt>
  <rfmt sheetId="25" sqref="V5" start="0" length="0">
    <dxf>
      <font>
        <b/>
        <sz val="7"/>
        <color auto="1"/>
        <name val="Arial"/>
        <scheme val="none"/>
      </font>
      <alignment horizontal="center" vertical="top" wrapText="1" readingOrder="0"/>
      <border outline="0">
        <top style="thin">
          <color rgb="FF000000"/>
        </top>
        <bottom style="thin">
          <color rgb="FF000000"/>
        </bottom>
      </border>
    </dxf>
  </rfmt>
  <rfmt sheetId="25" sqref="W5" start="0" length="0">
    <dxf>
      <font>
        <b/>
        <sz val="7"/>
        <color auto="1"/>
        <name val="Arial"/>
        <scheme val="none"/>
      </font>
      <alignment horizontal="center" vertical="top" wrapText="1" readingOrder="0"/>
      <border outline="0">
        <top style="thin">
          <color rgb="FF000000"/>
        </top>
        <bottom style="thin">
          <color rgb="FF000000"/>
        </bottom>
      </border>
    </dxf>
  </rfmt>
  <rfmt sheetId="25" sqref="X5" start="0" length="0">
    <dxf>
      <font>
        <b/>
        <sz val="7"/>
        <color auto="1"/>
        <name val="Arial"/>
        <scheme val="none"/>
      </font>
      <alignment horizontal="center" vertical="top" wrapText="1" readingOrder="0"/>
      <border outline="0">
        <top style="thin">
          <color rgb="FF000000"/>
        </top>
        <bottom style="thin">
          <color rgb="FF000000"/>
        </bottom>
      </border>
    </dxf>
  </rfmt>
  <rfmt sheetId="25" sqref="Y5" start="0" length="0">
    <dxf>
      <font>
        <b/>
        <sz val="7"/>
        <color auto="1"/>
        <name val="Arial"/>
        <scheme val="none"/>
      </font>
      <alignment horizontal="center" vertical="top" wrapText="1" readingOrder="0"/>
      <border outline="0">
        <right style="thin">
          <color rgb="FF000000"/>
        </right>
        <top style="thin">
          <color rgb="FF000000"/>
        </top>
        <bottom style="thin">
          <color rgb="FF000000"/>
        </bottom>
      </border>
    </dxf>
  </rfmt>
  <rfmt sheetId="25" sqref="A6" start="0" length="0">
    <dxf>
      <font>
        <b/>
        <sz val="7"/>
        <color auto="1"/>
        <name val="Arial"/>
        <scheme val="none"/>
      </font>
      <alignment horizontal="left" vertical="center" wrapText="1" indent="6" relativeIndent="0" readingOrder="0"/>
      <border outline="0">
        <left style="thin">
          <color rgb="FF000000"/>
        </left>
      </border>
    </dxf>
  </rfmt>
  <rfmt sheetId="25" sqref="B6" start="0" length="0">
    <dxf>
      <font>
        <b/>
        <sz val="7"/>
        <color auto="1"/>
        <name val="Arial"/>
        <scheme val="none"/>
      </font>
      <alignment horizontal="left" vertical="center" wrapText="1" indent="6" relativeIndent="0" readingOrder="0"/>
      <border outline="0">
        <right style="thin">
          <color rgb="FF000000"/>
        </right>
      </border>
    </dxf>
  </rfmt>
  <rfmt sheetId="25" sqref="C6"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D6"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E6" start="0" length="0">
    <dxf>
      <font>
        <b/>
        <sz val="7"/>
        <color auto="1"/>
        <name val="Arial"/>
        <scheme val="none"/>
      </font>
      <alignment horizontal="left" vertical="top" textRotation="90" wrapText="1" readingOrder="0"/>
      <border outline="0">
        <left style="thin">
          <color rgb="FF000000"/>
        </left>
        <right style="thin">
          <color rgb="FF000000"/>
        </right>
      </border>
    </dxf>
  </rfmt>
  <rcc rId="6349" sId="25" odxf="1" dxf="1">
    <nc r="F6" t="inlineStr">
      <is>
        <r>
          <rPr>
            <b/>
            <sz val="7"/>
            <rFont val="Arial"/>
            <family val="2"/>
          </rPr>
          <t>ECONOM</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50" sId="25" odxf="1" dxf="1">
    <nc r="G6" t="inlineStr">
      <is>
        <r>
          <rPr>
            <b/>
            <sz val="7"/>
            <rFont val="Arial"/>
            <family val="2"/>
          </rPr>
          <t>STANDA</t>
        </r>
      </is>
    </nc>
    <odxf>
      <font>
        <b val="0"/>
        <sz val="11"/>
        <color theme="1"/>
        <name val="Calibri"/>
        <scheme val="minor"/>
      </font>
      <alignment horizontal="general" vertical="bottom" textRotation="0" wrapText="0" readingOrder="0"/>
      <border outline="0">
        <left/>
        <top/>
      </border>
    </odxf>
    <ndxf>
      <font>
        <b/>
        <sz val="7"/>
        <color auto="1"/>
        <name val="Arial"/>
        <scheme val="none"/>
      </font>
      <alignment horizontal="left" vertical="top" textRotation="90" wrapText="1" readingOrder="0"/>
      <border outline="0">
        <left style="thin">
          <color rgb="FF000000"/>
        </left>
        <top style="thin">
          <color rgb="FF000000"/>
        </top>
      </border>
    </ndxf>
  </rcc>
  <rfmt sheetId="25" sqref="H6" start="0" length="0">
    <dxf>
      <font>
        <b/>
        <sz val="7"/>
        <color auto="1"/>
        <name val="Arial"/>
        <scheme val="none"/>
      </font>
      <alignment horizontal="left" vertical="top" textRotation="90" wrapText="1" readingOrder="0"/>
      <border outline="0">
        <right style="thin">
          <color rgb="FF000000"/>
        </right>
        <top style="thin">
          <color rgb="FF000000"/>
        </top>
      </border>
    </dxf>
  </rfmt>
  <rcc rId="6351" sId="25" odxf="1" dxf="1">
    <nc r="I6" t="inlineStr">
      <is>
        <r>
          <rPr>
            <b/>
            <sz val="7"/>
            <rFont val="Arial"/>
            <family val="2"/>
          </rPr>
          <t>GARANT</t>
        </r>
      </is>
    </nc>
    <odxf>
      <font>
        <b val="0"/>
        <sz val="11"/>
        <color theme="1"/>
        <name val="Calibri"/>
        <scheme val="minor"/>
      </font>
      <alignment horizontal="general" vertical="bottom" textRotation="0" wrapText="0" readingOrder="0"/>
      <border outline="0">
        <left/>
        <top/>
      </border>
    </odxf>
    <ndxf>
      <font>
        <b/>
        <sz val="7"/>
        <color auto="1"/>
        <name val="Arial"/>
        <scheme val="none"/>
      </font>
      <alignment horizontal="left" vertical="top" textRotation="90" wrapText="1" readingOrder="0"/>
      <border outline="0">
        <left style="thin">
          <color rgb="FF000000"/>
        </left>
        <top style="thin">
          <color rgb="FF000000"/>
        </top>
      </border>
    </ndxf>
  </rcc>
  <rfmt sheetId="25" sqref="J6" start="0" length="0">
    <dxf>
      <font>
        <b/>
        <sz val="7"/>
        <color auto="1"/>
        <name val="Arial"/>
        <scheme val="none"/>
      </font>
      <alignment horizontal="left" vertical="top" textRotation="90" wrapText="1" readingOrder="0"/>
      <border outline="0">
        <right style="thin">
          <color rgb="FF000000"/>
        </right>
        <top style="thin">
          <color rgb="FF000000"/>
        </top>
      </border>
    </dxf>
  </rfmt>
  <rcc rId="6352" sId="25" odxf="1" dxf="1">
    <nc r="K6" t="inlineStr">
      <is>
        <r>
          <rPr>
            <b/>
            <sz val="8"/>
            <rFont val="Arial"/>
            <family val="2"/>
          </rPr>
          <t>Стальной шелк</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3" sId="25" odxf="1" dxf="1">
    <nc r="L6" t="inlineStr">
      <is>
        <r>
          <rPr>
            <b/>
            <sz val="8"/>
            <rFont val="Arial"/>
            <family val="2"/>
          </rPr>
          <t>Стальной бархат</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4" sId="25" odxf="1" dxf="1">
    <nc r="M6" t="inlineStr">
      <is>
        <r>
          <rPr>
            <b/>
            <sz val="8"/>
            <rFont val="Arial"/>
            <family val="2"/>
          </rPr>
          <t>DUPLEX</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5" sId="25" odxf="1" dxf="1">
    <nc r="N6" t="inlineStr">
      <is>
        <r>
          <rPr>
            <b/>
            <sz val="8"/>
            <rFont val="Arial"/>
            <family val="2"/>
          </rPr>
          <t>Полиэстер 0,7</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6" sId="25" odxf="1" dxf="1">
    <nc r="O6" t="inlineStr">
      <is>
        <r>
          <rPr>
            <b/>
            <sz val="8"/>
            <rFont val="Arial"/>
            <family val="2"/>
          </rPr>
          <t>NeoMatt</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7" sId="25" odxf="1" dxf="1">
    <nc r="P6" t="inlineStr">
      <is>
        <r>
          <rPr>
            <b/>
            <sz val="8"/>
            <rFont val="Arial"/>
            <family val="2"/>
          </rPr>
          <t>Премьер</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8" sId="25" odxf="1" dxf="1">
    <nc r="Q6" t="inlineStr">
      <is>
        <r>
          <rPr>
            <b/>
            <sz val="8"/>
            <rFont val="Arial"/>
            <family val="2"/>
          </rPr>
          <t>Полиэстер Ruukki</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9" sId="25" odxf="1" dxf="1">
    <nc r="R6" t="inlineStr">
      <is>
        <r>
          <rPr>
            <b/>
            <sz val="8"/>
            <rFont val="Arial"/>
            <family val="2"/>
          </rPr>
          <t>PRINTECH</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60" sId="25" odxf="1" dxf="1">
    <nc r="S6" t="inlineStr">
      <is>
        <r>
          <rPr>
            <b/>
            <sz val="8"/>
            <rFont val="Arial"/>
            <family val="2"/>
          </rPr>
          <t>PURAL</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61" sId="25" odxf="1" dxf="1">
    <nc r="T6" t="inlineStr">
      <is>
        <r>
          <rPr>
            <b/>
            <sz val="7"/>
            <rFont val="Arial"/>
            <family val="2"/>
          </rPr>
          <t>ТОЛЩИНА, ММ</t>
        </r>
      </is>
    </nc>
    <odxf>
      <font>
        <b val="0"/>
        <sz val="11"/>
        <color theme="1"/>
        <name val="Calibri"/>
        <scheme val="minor"/>
      </font>
      <alignment horizontal="general" vertical="bottom" wrapText="0" indent="0" relativeIndent="0" readingOrder="0"/>
      <border outline="0">
        <left/>
        <top/>
        <bottom/>
      </border>
    </odxf>
    <ndxf>
      <font>
        <b/>
        <sz val="7"/>
        <color auto="1"/>
        <name val="Arial"/>
        <scheme val="none"/>
      </font>
      <alignment horizontal="left" vertical="top" wrapText="1" indent="5" relativeIndent="0" readingOrder="0"/>
      <border outline="0">
        <left style="thin">
          <color rgb="FF000000"/>
        </left>
        <top style="thin">
          <color rgb="FF000000"/>
        </top>
        <bottom style="thin">
          <color rgb="FF000000"/>
        </bottom>
      </border>
    </ndxf>
  </rcc>
  <rfmt sheetId="25" sqref="U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V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W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X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Y6" start="0" length="0">
    <dxf>
      <font>
        <b/>
        <sz val="7"/>
        <color auto="1"/>
        <name val="Arial"/>
        <scheme val="none"/>
      </font>
      <alignment horizontal="left" vertical="top" wrapText="1" indent="5" relativeIndent="0" readingOrder="0"/>
      <border outline="0">
        <right style="thin">
          <color rgb="FF000000"/>
        </right>
        <top style="thin">
          <color rgb="FF000000"/>
        </top>
        <bottom style="thin">
          <color rgb="FF000000"/>
        </bottom>
      </border>
    </dxf>
  </rfmt>
  <rfmt sheetId="25" sqref="A7" start="0" length="0">
    <dxf>
      <font>
        <b/>
        <sz val="7"/>
        <color auto="1"/>
        <name val="Arial"/>
        <scheme val="none"/>
      </font>
      <alignment horizontal="left" vertical="center" wrapText="1" indent="6" relativeIndent="0" readingOrder="0"/>
      <border outline="0">
        <left style="thin">
          <color rgb="FF000000"/>
        </left>
      </border>
    </dxf>
  </rfmt>
  <rfmt sheetId="25" sqref="B7" start="0" length="0">
    <dxf>
      <font>
        <b/>
        <sz val="7"/>
        <color auto="1"/>
        <name val="Arial"/>
        <scheme val="none"/>
      </font>
      <alignment horizontal="left" vertical="center" wrapText="1" indent="6" relativeIndent="0" readingOrder="0"/>
      <border outline="0">
        <right style="thin">
          <color rgb="FF000000"/>
        </right>
      </border>
    </dxf>
  </rfmt>
  <rfmt sheetId="25" sqref="C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D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E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F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G7" start="0" length="0">
    <dxf>
      <font>
        <b/>
        <sz val="7"/>
        <color auto="1"/>
        <name val="Arial"/>
        <scheme val="none"/>
      </font>
      <alignment horizontal="left" vertical="top" textRotation="90" wrapText="1" readingOrder="0"/>
      <border outline="0">
        <left style="thin">
          <color rgb="FF000000"/>
        </left>
        <bottom style="thin">
          <color rgb="FF000000"/>
        </bottom>
      </border>
    </dxf>
  </rfmt>
  <rfmt sheetId="25" sqref="H7" start="0" length="0">
    <dxf>
      <font>
        <b/>
        <sz val="7"/>
        <color auto="1"/>
        <name val="Arial"/>
        <scheme val="none"/>
      </font>
      <alignment horizontal="left" vertical="top" textRotation="90" wrapText="1" readingOrder="0"/>
      <border outline="0">
        <right style="thin">
          <color rgb="FF000000"/>
        </right>
        <bottom style="thin">
          <color rgb="FF000000"/>
        </bottom>
      </border>
    </dxf>
  </rfmt>
  <rfmt sheetId="25" sqref="I7" start="0" length="0">
    <dxf>
      <font>
        <b/>
        <sz val="7"/>
        <color auto="1"/>
        <name val="Arial"/>
        <scheme val="none"/>
      </font>
      <alignment horizontal="left" vertical="top" textRotation="90" wrapText="1" readingOrder="0"/>
      <border outline="0">
        <left style="thin">
          <color rgb="FF000000"/>
        </left>
        <bottom style="thin">
          <color rgb="FF000000"/>
        </bottom>
      </border>
    </dxf>
  </rfmt>
  <rfmt sheetId="25" sqref="J7" start="0" length="0">
    <dxf>
      <font>
        <b/>
        <sz val="7"/>
        <color auto="1"/>
        <name val="Arial"/>
        <scheme val="none"/>
      </font>
      <alignment horizontal="left" vertical="top" textRotation="90" wrapText="1" readingOrder="0"/>
      <border outline="0">
        <right style="thin">
          <color rgb="FF000000"/>
        </right>
        <bottom style="thin">
          <color rgb="FF000000"/>
        </bottom>
      </border>
    </dxf>
  </rfmt>
  <rfmt sheetId="25" sqref="K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L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M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N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O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P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Q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R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S7" start="0" length="0">
    <dxf>
      <font>
        <b/>
        <sz val="8"/>
        <color auto="1"/>
        <name val="Arial"/>
        <scheme val="none"/>
      </font>
      <alignment horizontal="left" vertical="top" textRotation="90" wrapText="1" readingOrder="0"/>
      <border outline="0">
        <left style="thin">
          <color rgb="FF000000"/>
        </left>
        <right style="thin">
          <color rgb="FF000000"/>
        </right>
      </border>
    </dxf>
  </rfmt>
  <rcc rId="6362" sId="25" odxf="1" dxf="1" numFmtId="4">
    <nc r="T7">
      <v>0.4</v>
    </nc>
    <odxf>
      <font>
        <b val="0"/>
        <sz val="11"/>
        <color theme="1"/>
        <name val="Calibri"/>
        <scheme val="minor"/>
      </font>
      <numFmt numFmtId="0" formatCode="General"/>
      <alignment horizontal="general" vertical="bottom" shrinkToFit="0" readingOrder="0"/>
      <border outline="0">
        <left/>
        <right/>
        <top/>
      </border>
    </odxf>
    <ndxf>
      <font>
        <b/>
        <sz val="7"/>
        <color rgb="FF000000"/>
        <name val="Arial"/>
        <scheme val="none"/>
      </font>
      <numFmt numFmtId="165" formatCode="0.0"/>
      <alignment horizontal="left" vertical="center" shrinkToFit="1" readingOrder="0"/>
      <border outline="0">
        <left style="thin">
          <color rgb="FF000000"/>
        </left>
        <right style="thin">
          <color rgb="FF000000"/>
        </right>
        <top style="thin">
          <color rgb="FF000000"/>
        </top>
      </border>
    </ndxf>
  </rcc>
  <rcc rId="6363" sId="25" odxf="1" dxf="1" numFmtId="4">
    <nc r="U7">
      <v>0.45</v>
    </nc>
    <odxf>
      <font>
        <b val="0"/>
        <sz val="11"/>
        <color theme="1"/>
        <name val="Calibri"/>
        <scheme val="minor"/>
      </font>
      <numFmt numFmtId="0" formatCode="General"/>
      <alignment horizontal="general" vertical="bottom" shrinkToFit="0" readingOrder="0"/>
      <border outline="0">
        <left/>
        <right/>
        <top/>
      </border>
    </odxf>
    <ndxf>
      <font>
        <b/>
        <sz val="7"/>
        <color rgb="FF000000"/>
        <name val="Arial"/>
        <scheme val="none"/>
      </font>
      <numFmt numFmtId="2" formatCode="0.00"/>
      <alignment horizontal="left" vertical="center" shrinkToFit="1" readingOrder="0"/>
      <border outline="0">
        <left style="thin">
          <color rgb="FF000000"/>
        </left>
        <right style="thin">
          <color rgb="FF000000"/>
        </right>
        <top style="thin">
          <color rgb="FF000000"/>
        </top>
      </border>
    </ndxf>
  </rcc>
  <rcc rId="6364" sId="25" odxf="1" dxf="1" numFmtId="4">
    <nc r="V7">
      <v>0.5</v>
    </nc>
    <odxf>
      <font>
        <b val="0"/>
        <sz val="11"/>
        <color theme="1"/>
        <name val="Calibri"/>
        <scheme val="minor"/>
      </font>
      <numFmt numFmtId="0" formatCode="General"/>
      <alignment horizontal="general" vertical="bottom" shrinkToFit="0" readingOrder="0"/>
      <border outline="0">
        <left/>
        <right/>
        <top/>
      </border>
    </odxf>
    <ndxf>
      <font>
        <b/>
        <sz val="7"/>
        <color rgb="FF000000"/>
        <name val="Arial"/>
        <scheme val="none"/>
      </font>
      <numFmt numFmtId="165" formatCode="0.0"/>
      <alignment horizontal="left" vertical="center" shrinkToFit="1" readingOrder="0"/>
      <border outline="0">
        <left style="thin">
          <color rgb="FF000000"/>
        </left>
        <right style="thin">
          <color rgb="FF000000"/>
        </right>
        <top style="thin">
          <color rgb="FF000000"/>
        </top>
      </border>
    </ndxf>
  </rcc>
  <rcc rId="6365" sId="25" odxf="1" dxf="1" numFmtId="4">
    <nc r="W7">
      <v>0.7</v>
    </nc>
    <odxf>
      <font>
        <b val="0"/>
        <sz val="11"/>
        <color theme="1"/>
        <name val="Calibri"/>
        <scheme val="minor"/>
      </font>
      <numFmt numFmtId="0" formatCode="General"/>
      <alignment horizontal="general" vertical="bottom" indent="0" relativeIndent="0" shrinkToFit="0" readingOrder="0"/>
      <border outline="0">
        <left/>
        <right/>
        <top/>
      </border>
    </odxf>
    <n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top style="thin">
          <color rgb="FF000000"/>
        </top>
      </border>
    </ndxf>
  </rcc>
  <rcc rId="6366" sId="25" odxf="1" dxf="1" numFmtId="4">
    <nc r="X7">
      <v>0.8</v>
    </nc>
    <odxf>
      <font>
        <b val="0"/>
        <sz val="11"/>
        <color theme="1"/>
        <name val="Calibri"/>
        <scheme val="minor"/>
      </font>
      <numFmt numFmtId="0" formatCode="General"/>
      <alignment horizontal="general" vertical="bottom" indent="0" relativeIndent="0" shrinkToFit="0" readingOrder="0"/>
      <border outline="0">
        <left/>
        <right/>
        <top/>
      </border>
    </odxf>
    <n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top style="thin">
          <color rgb="FF000000"/>
        </top>
      </border>
    </ndxf>
  </rcc>
  <rcc rId="6367" sId="25" odxf="1" dxf="1" numFmtId="4">
    <nc r="Y7">
      <v>0.9</v>
    </nc>
    <odxf>
      <font>
        <b val="0"/>
        <sz val="11"/>
        <color theme="1"/>
        <name val="Calibri"/>
        <scheme val="minor"/>
      </font>
      <numFmt numFmtId="0" formatCode="General"/>
      <alignment horizontal="general" vertical="bottom" indent="0" relativeIndent="0" shrinkToFit="0" readingOrder="0"/>
      <border outline="0">
        <left/>
        <right/>
        <top/>
      </border>
    </odxf>
    <n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top style="thin">
          <color rgb="FF000000"/>
        </top>
      </border>
    </ndxf>
  </rcc>
  <rfmt sheetId="25" sqref="A8" start="0" length="0">
    <dxf>
      <font>
        <b/>
        <sz val="7"/>
        <color auto="1"/>
        <name val="Arial"/>
        <scheme val="none"/>
      </font>
      <alignment horizontal="left" vertical="center" wrapText="1" indent="6" relativeIndent="0" readingOrder="0"/>
      <border outline="0">
        <left style="thin">
          <color rgb="FF000000"/>
        </left>
      </border>
    </dxf>
  </rfmt>
  <rfmt sheetId="25" sqref="B8" start="0" length="0">
    <dxf>
      <font>
        <b/>
        <sz val="7"/>
        <color auto="1"/>
        <name val="Arial"/>
        <scheme val="none"/>
      </font>
      <alignment horizontal="left" vertical="center" wrapText="1" indent="6" relativeIndent="0" readingOrder="0"/>
      <border outline="0">
        <right style="thin">
          <color rgb="FF000000"/>
        </right>
      </border>
    </dxf>
  </rfmt>
  <rfmt sheetId="25" sqref="C8"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D8"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E8"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F8"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cc rId="6368" sId="25" odxf="1" dxf="1">
    <nc r="G8" t="inlineStr">
      <is>
        <r>
          <rPr>
            <b/>
            <sz val="7"/>
            <rFont val="Arial"/>
            <family val="2"/>
          </rPr>
          <t>все цвета</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369" sId="25" odxf="1" dxf="1">
    <nc r="H8" t="inlineStr">
      <is>
        <r>
          <rPr>
            <b/>
            <sz val="7"/>
            <rFont val="Arial"/>
            <family val="2"/>
          </rPr>
          <t xml:space="preserve">1018
</t>
        </r>
        <r>
          <rPr>
            <b/>
            <sz val="7"/>
            <rFont val="Arial"/>
            <family val="2"/>
          </rPr>
          <t xml:space="preserve">2004
</t>
        </r>
        <r>
          <rPr>
            <b/>
            <sz val="7"/>
            <rFont val="Arial"/>
            <family val="2"/>
          </rPr>
          <t>3020</t>
        </r>
      </is>
    </nc>
    <odxf>
      <alignment horizontal="general" vertical="bottom" wrapText="0" indent="0" relativeIndent="0" readingOrder="0"/>
      <border outline="0">
        <left/>
        <right/>
        <top/>
        <bottom/>
      </border>
    </odxf>
    <ndxf>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370" sId="25" odxf="1" dxf="1">
    <nc r="I8" t="inlineStr">
      <is>
        <r>
          <rPr>
            <b/>
            <sz val="7"/>
            <rFont val="Arial"/>
            <family val="2"/>
          </rPr>
          <t>все цвета</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371" sId="25" odxf="1" dxf="1">
    <nc r="J8" t="inlineStr">
      <is>
        <r>
          <rPr>
            <b/>
            <sz val="7"/>
            <rFont val="Arial"/>
            <family val="2"/>
          </rPr>
          <t xml:space="preserve">1018
</t>
        </r>
        <r>
          <rPr>
            <b/>
            <sz val="7"/>
            <rFont val="Arial"/>
            <family val="2"/>
          </rPr>
          <t xml:space="preserve">2004
</t>
        </r>
        <r>
          <rPr>
            <b/>
            <sz val="7"/>
            <rFont val="Arial"/>
            <family val="2"/>
          </rPr>
          <t>3020</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fmt sheetId="25" sqref="K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L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M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N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O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P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Q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R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S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T8"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rder>
    </dxf>
  </rfmt>
  <rfmt sheetId="25" sqref="U8" start="0" length="0">
    <dxf>
      <font>
        <b/>
        <sz val="7"/>
        <color rgb="FF000000"/>
        <name val="Arial"/>
        <scheme val="none"/>
      </font>
      <numFmt numFmtId="2" formatCode="0.00"/>
      <alignment horizontal="left" vertical="center" shrinkToFit="1" readingOrder="0"/>
      <border outline="0">
        <left style="thin">
          <color rgb="FF000000"/>
        </left>
        <right style="thin">
          <color rgb="FF000000"/>
        </right>
      </border>
    </dxf>
  </rfmt>
  <rfmt sheetId="25" sqref="V8"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rder>
    </dxf>
  </rfmt>
  <rfmt sheetId="25" sqref="W8"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rder>
    </dxf>
  </rfmt>
  <rfmt sheetId="25" sqref="X8"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rder>
    </dxf>
  </rfmt>
  <rfmt sheetId="25" sqref="Y8"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rder>
    </dxf>
  </rfmt>
  <rfmt sheetId="25" sqref="A9" start="0" length="0">
    <dxf>
      <font>
        <b/>
        <sz val="7"/>
        <color auto="1"/>
        <name val="Arial"/>
        <scheme val="none"/>
      </font>
      <alignment horizontal="left" vertical="center" wrapText="1" indent="6" relativeIndent="0" readingOrder="0"/>
      <border outline="0">
        <left style="thin">
          <color rgb="FF000000"/>
        </left>
        <bottom style="thin">
          <color rgb="FF000000"/>
        </bottom>
      </border>
    </dxf>
  </rfmt>
  <rfmt sheetId="25" sqref="B9" start="0" length="0">
    <dxf>
      <font>
        <b/>
        <sz val="7"/>
        <color auto="1"/>
        <name val="Arial"/>
        <scheme val="none"/>
      </font>
      <alignment horizontal="left" vertical="center" wrapText="1" indent="6" relativeIndent="0" readingOrder="0"/>
      <border outline="0">
        <right style="thin">
          <color rgb="FF000000"/>
        </right>
        <bottom style="thin">
          <color rgb="FF000000"/>
        </bottom>
      </border>
    </dxf>
  </rfmt>
  <rfmt sheetId="25" sqref="C9"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D9"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E9"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cc rId="6372" sId="25" odxf="1" dxf="1">
    <nc r="F9" t="inlineStr">
      <is>
        <r>
          <rPr>
            <b/>
            <sz val="7"/>
            <rFont val="Arial"/>
            <family val="2"/>
          </rPr>
          <t>0.4</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73" sId="25" odxf="1" dxf="1" numFmtId="4">
    <nc r="G9">
      <v>0.45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2" formatCode="0.00"/>
      <alignment horizontal="center" vertical="top" shrinkToFit="1" readingOrder="0"/>
      <border outline="0">
        <left style="thin">
          <color rgb="FF000000"/>
        </left>
        <right style="thin">
          <color rgb="FF000000"/>
        </right>
        <top style="thin">
          <color rgb="FF000000"/>
        </top>
        <bottom style="thin">
          <color rgb="FF000000"/>
        </bottom>
      </border>
    </ndxf>
  </rcc>
  <rcc rId="6374" sId="25" odxf="1" dxf="1" numFmtId="4">
    <nc r="H9">
      <v>0.45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2" formatCode="0.00"/>
      <alignment horizontal="center" vertical="top" shrinkToFit="1" readingOrder="0"/>
      <border outline="0">
        <left style="thin">
          <color rgb="FF000000"/>
        </left>
        <right style="thin">
          <color rgb="FF000000"/>
        </right>
        <top style="thin">
          <color rgb="FF000000"/>
        </top>
        <bottom style="thin">
          <color rgb="FF000000"/>
        </bottom>
      </border>
    </ndxf>
  </rcc>
  <rcc rId="6375" sId="25" odxf="1" dxf="1" numFmtId="4">
    <nc r="I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76" sId="25" odxf="1" dxf="1" numFmtId="4">
    <nc r="J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77" sId="25" odxf="1" dxf="1">
    <nc r="K9" t="inlineStr">
      <is>
        <r>
          <rPr>
            <b/>
            <sz val="7"/>
            <rFont val="Arial"/>
            <family val="2"/>
          </rPr>
          <t>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78" sId="25" odxf="1" dxf="1" numFmtId="4">
    <nc r="L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79" sId="25" odxf="1" dxf="1" numFmtId="4">
    <nc r="M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80" sId="25" odxf="1" dxf="1" numFmtId="4">
    <nc r="N9">
      <v>0.7</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81" sId="25" odxf="1" dxf="1" numFmtId="4">
    <nc r="O9">
      <v>0.45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2" formatCode="0.0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382" sId="25" odxf="1" dxf="1" numFmtId="4">
    <nc r="P9">
      <v>0.5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65" formatCode="0.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383" sId="25" odxf="1" dxf="1">
    <nc r="Q9" t="inlineStr">
      <is>
        <r>
          <rPr>
            <b/>
            <sz val="7"/>
            <rFont val="Arial"/>
            <family val="2"/>
          </rPr>
          <t>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84" sId="25" odxf="1" dxf="1" numFmtId="4">
    <nc r="R9">
      <v>0.45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2" formatCode="0.00"/>
      <alignment horizontal="center" vertical="top" shrinkToFit="1" readingOrder="0"/>
      <border outline="0">
        <left style="thin">
          <color rgb="FF000000"/>
        </left>
        <right style="thin">
          <color rgb="FF000000"/>
        </right>
        <top style="thin">
          <color rgb="FF000000"/>
        </top>
        <bottom style="thin">
          <color rgb="FF000000"/>
        </bottom>
      </border>
    </ndxf>
  </rcc>
  <rcc rId="6385" sId="25" odxf="1" dxf="1">
    <nc r="S9" t="inlineStr">
      <is>
        <r>
          <rPr>
            <b/>
            <sz val="7"/>
            <rFont val="Arial"/>
            <family val="2"/>
          </rPr>
          <t>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T9"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ttom style="thin">
          <color rgb="FF000000"/>
        </bottom>
      </border>
    </dxf>
  </rfmt>
  <rfmt sheetId="25" sqref="U9" start="0" length="0">
    <dxf>
      <font>
        <b/>
        <sz val="7"/>
        <color rgb="FF000000"/>
        <name val="Arial"/>
        <scheme val="none"/>
      </font>
      <numFmt numFmtId="2" formatCode="0.00"/>
      <alignment horizontal="left" vertical="center" shrinkToFit="1" readingOrder="0"/>
      <border outline="0">
        <left style="thin">
          <color rgb="FF000000"/>
        </left>
        <right style="thin">
          <color rgb="FF000000"/>
        </right>
        <bottom style="thin">
          <color rgb="FF000000"/>
        </bottom>
      </border>
    </dxf>
  </rfmt>
  <rfmt sheetId="25" sqref="V9"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ttom style="thin">
          <color rgb="FF000000"/>
        </bottom>
      </border>
    </dxf>
  </rfmt>
  <rfmt sheetId="25" sqref="W9"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ttom style="thin">
          <color rgb="FF000000"/>
        </bottom>
      </border>
    </dxf>
  </rfmt>
  <rfmt sheetId="25" sqref="X9"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ttom style="thin">
          <color rgb="FF000000"/>
        </bottom>
      </border>
    </dxf>
  </rfmt>
  <rfmt sheetId="25" sqref="Y9"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ttom style="thin">
          <color rgb="FF000000"/>
        </bottom>
      </border>
    </dxf>
  </rfmt>
  <rcc rId="6386" sId="25" odxf="1" dxf="1" numFmtId="4">
    <nc r="A10">
      <v>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87" sId="25" odxf="1" dxf="1">
    <nc r="B10" t="inlineStr">
      <is>
        <r>
          <rPr>
            <b/>
            <sz val="7"/>
            <rFont val="Arial"/>
            <family val="2"/>
          </rPr>
          <t xml:space="preserve">МЧ </t>
        </r>
        <r>
          <rPr>
            <b/>
            <i/>
            <sz val="7"/>
            <rFont val="Arial"/>
            <family val="2"/>
          </rPr>
          <t xml:space="preserve">МОНТЕРРЕЙ,
</t>
        </r>
        <r>
          <rPr>
            <b/>
            <i/>
            <sz val="7"/>
            <rFont val="Arial"/>
            <family val="2"/>
          </rPr>
          <t>CУПЕРМОНТЕРРЕЙ,МАКСИ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388" sId="25" odxf="1" dxf="1" numFmtId="4">
    <nc r="C10">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389" sId="25" odxf="1" dxf="1" numFmtId="4">
    <nc r="D10">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390" sId="25" odxf="1" dxf="1">
    <nc r="E10"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91" sId="25" odxf="1" dxf="1" numFmtId="4">
    <nc r="F10">
      <v>305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2" sId="25" odxf="1" dxf="1" numFmtId="4">
    <nc r="G10">
      <v>357</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3" sId="25" odxf="1" dxf="1" numFmtId="4">
    <nc r="H10">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4" sId="25" odxf="1" dxf="1" numFmtId="4">
    <nc r="I10">
      <v>430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5" sId="25" odxf="1" dxf="1" numFmtId="4">
    <nc r="J10">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6" sId="25" odxf="1" dxf="1" numFmtId="4">
    <nc r="K10">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7" sId="25" odxf="1" dxf="1" numFmtId="4">
    <nc r="L10">
      <v>490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8" sId="25" odxf="1" dxf="1">
    <nc r="M1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99" sId="25" odxf="1" dxf="1">
    <nc r="N1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00" sId="25" odxf="1" dxf="1" numFmtId="4">
    <nc r="O10">
      <v>435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01" sId="25" odxf="1" dxf="1" numFmtId="4">
    <nc r="P10">
      <v>530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02" sId="25" odxf="1" dxf="1" numFmtId="4">
    <nc r="Q10">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3" sId="25" odxf="1" dxf="1" numFmtId="4">
    <nc r="R10">
      <v>600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4" sId="25" odxf="1" dxf="1" numFmtId="4">
    <nc r="S10">
      <v>765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5" sId="25" odxf="1" dxf="1">
    <nc r="T10" t="inlineStr">
      <is>
        <r>
          <rPr>
            <sz val="7"/>
            <rFont val="Arial"/>
            <family val="2"/>
          </rPr>
          <t>-</t>
        </r>
      </is>
    </nc>
    <odxf>
      <font>
        <sz val="11"/>
        <color theme="1"/>
        <name val="Calibri"/>
        <scheme val="minor"/>
      </font>
      <alignment horizontal="general" vertical="bottom" wrapText="0" readingOrder="0"/>
      <border outline="0">
        <left/>
        <top/>
      </border>
    </odxf>
    <ndxf>
      <font>
        <sz val="7"/>
        <color auto="1"/>
        <name val="Arial"/>
        <scheme val="none"/>
      </font>
      <alignment horizontal="center" vertical="center" wrapText="1" readingOrder="0"/>
      <border outline="0">
        <left style="thin">
          <color rgb="FF000000"/>
        </left>
        <top style="thin">
          <color rgb="FF000000"/>
        </top>
      </border>
    </ndxf>
  </rcc>
  <rfmt sheetId="25" sqref="U10" start="0" length="0">
    <dxf>
      <font>
        <sz val="7"/>
        <color auto="1"/>
        <name val="Arial"/>
        <scheme val="none"/>
      </font>
      <alignment horizontal="center" vertical="center" wrapText="1" readingOrder="0"/>
      <border outline="0">
        <top style="thin">
          <color rgb="FF000000"/>
        </top>
      </border>
    </dxf>
  </rfmt>
  <rfmt sheetId="25" sqref="V10" start="0" length="0">
    <dxf>
      <font>
        <sz val="7"/>
        <color auto="1"/>
        <name val="Arial"/>
        <scheme val="none"/>
      </font>
      <alignment horizontal="center" vertical="center" wrapText="1" readingOrder="0"/>
      <border outline="0">
        <top style="thin">
          <color rgb="FF000000"/>
        </top>
      </border>
    </dxf>
  </rfmt>
  <rfmt sheetId="25" sqref="W10" start="0" length="0">
    <dxf>
      <font>
        <sz val="7"/>
        <color auto="1"/>
        <name val="Arial"/>
        <scheme val="none"/>
      </font>
      <alignment horizontal="center" vertical="center" wrapText="1" readingOrder="0"/>
      <border outline="0">
        <top style="thin">
          <color rgb="FF000000"/>
        </top>
      </border>
    </dxf>
  </rfmt>
  <rfmt sheetId="25" sqref="X10" start="0" length="0">
    <dxf>
      <font>
        <sz val="7"/>
        <color auto="1"/>
        <name val="Arial"/>
        <scheme val="none"/>
      </font>
      <alignment horizontal="center" vertical="center" wrapText="1" readingOrder="0"/>
      <border outline="0">
        <top style="thin">
          <color rgb="FF000000"/>
        </top>
      </border>
    </dxf>
  </rfmt>
  <rfmt sheetId="25" sqref="Y10" start="0" length="0">
    <dxf>
      <font>
        <sz val="7"/>
        <color auto="1"/>
        <name val="Arial"/>
        <scheme val="none"/>
      </font>
      <alignment horizontal="center" vertical="center" wrapText="1" readingOrder="0"/>
      <border outline="0">
        <right style="thin">
          <color rgb="FF000000"/>
        </right>
        <top style="thin">
          <color rgb="FF000000"/>
        </top>
      </border>
    </dxf>
  </rfmt>
  <rcc rId="6406" sId="25" odxf="1" dxf="1" numFmtId="4">
    <nc r="A11">
      <v>2</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7" sId="25" odxf="1" dxf="1">
    <nc r="B11" t="inlineStr">
      <is>
        <r>
          <rPr>
            <b/>
            <sz val="7"/>
            <rFont val="Arial"/>
            <family val="2"/>
          </rPr>
          <t xml:space="preserve">МЧ </t>
        </r>
        <r>
          <rPr>
            <b/>
            <i/>
            <sz val="7"/>
            <rFont val="Arial"/>
            <family val="2"/>
          </rPr>
          <t>РЕТРО</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08" sId="25" odxf="1" dxf="1" numFmtId="4">
    <nc r="C11">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09" sId="25" odxf="1" dxf="1" numFmtId="4">
    <nc r="D11">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10" sId="25" odxf="1" dxf="1">
    <nc r="E11"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11" sId="25" odxf="1" dxf="1">
    <nc r="F1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12" sId="25" odxf="1" dxf="1" numFmtId="4">
    <nc r="G11">
      <v>369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3" sId="25" odxf="1" dxf="1" numFmtId="4">
    <nc r="H11">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4" sId="25" odxf="1" dxf="1" numFmtId="4">
    <nc r="I11">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5" sId="25" odxf="1" dxf="1" numFmtId="4">
    <nc r="J11">
      <v>505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6" sId="25" odxf="1" dxf="1" numFmtId="4">
    <nc r="K11">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7" sId="25" odxf="1" dxf="1">
    <nc r="L11" t="inlineStr">
      <is>
        <r>
          <rPr>
            <b/>
            <sz val="7"/>
            <rFont val="Arial"/>
            <family val="2"/>
          </rPr>
          <t xml:space="preserve">500
</t>
        </r>
        <r>
          <rPr>
            <b/>
            <sz val="7"/>
            <rFont val="Arial"/>
            <family val="2"/>
          </rPr>
          <t>500</t>
        </r>
      </is>
    </nc>
    <odxf>
      <alignment horizontal="general" vertical="bottom" wrapText="0" readingOrder="0"/>
      <border outline="0">
        <left/>
        <right/>
        <top/>
      </border>
    </odxf>
    <ndxf>
      <alignment horizontal="left" vertical="top" wrapText="1" readingOrder="0"/>
      <border outline="0">
        <left style="thin">
          <color rgb="FF000000"/>
        </left>
        <right style="thin">
          <color rgb="FF000000"/>
        </right>
        <top style="thin">
          <color rgb="FF000000"/>
        </top>
      </border>
    </ndxf>
  </rcc>
  <rcc rId="6418" sId="25" odxf="1" dxf="1">
    <nc r="M1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19" sId="25" odxf="1" dxf="1">
    <nc r="N1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20" sId="25" odxf="1" dxf="1" numFmtId="4">
    <nc r="O11">
      <v>445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21" sId="25" odxf="1" dxf="1" numFmtId="4">
    <nc r="P11">
      <v>540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22" sId="25" odxf="1" dxf="1" numFmtId="4">
    <nc r="Q11">
      <v>595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23" sId="25" odxf="1" dxf="1" numFmtId="4">
    <nc r="R11">
      <v>610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24" sId="25" odxf="1" dxf="1" numFmtId="4">
    <nc r="S11">
      <v>775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1" start="0" length="0">
    <dxf>
      <font>
        <sz val="7"/>
        <color auto="1"/>
        <name val="Arial"/>
        <scheme val="none"/>
      </font>
      <alignment horizontal="center" vertical="center" wrapText="1" readingOrder="0"/>
      <border outline="0">
        <left style="thin">
          <color rgb="FF000000"/>
        </left>
      </border>
    </dxf>
  </rfmt>
  <rfmt sheetId="25" sqref="U11" start="0" length="0">
    <dxf>
      <font>
        <sz val="7"/>
        <color auto="1"/>
        <name val="Arial"/>
        <scheme val="none"/>
      </font>
      <alignment horizontal="center" vertical="center" wrapText="1" readingOrder="0"/>
    </dxf>
  </rfmt>
  <rfmt sheetId="25" sqref="V11" start="0" length="0">
    <dxf>
      <font>
        <sz val="7"/>
        <color auto="1"/>
        <name val="Arial"/>
        <scheme val="none"/>
      </font>
      <alignment horizontal="center" vertical="center" wrapText="1" readingOrder="0"/>
    </dxf>
  </rfmt>
  <rfmt sheetId="25" sqref="W11" start="0" length="0">
    <dxf>
      <font>
        <sz val="7"/>
        <color auto="1"/>
        <name val="Arial"/>
        <scheme val="none"/>
      </font>
      <alignment horizontal="center" vertical="center" wrapText="1" readingOrder="0"/>
    </dxf>
  </rfmt>
  <rfmt sheetId="25" sqref="X11" start="0" length="0">
    <dxf>
      <font>
        <sz val="7"/>
        <color auto="1"/>
        <name val="Arial"/>
        <scheme val="none"/>
      </font>
      <alignment horizontal="center" vertical="center" wrapText="1" readingOrder="0"/>
    </dxf>
  </rfmt>
  <rfmt sheetId="25" sqref="Y11" start="0" length="0">
    <dxf>
      <font>
        <sz val="7"/>
        <color auto="1"/>
        <name val="Arial"/>
        <scheme val="none"/>
      </font>
      <alignment horizontal="center" vertical="center" wrapText="1" readingOrder="0"/>
      <border outline="0">
        <right style="thin">
          <color rgb="FF000000"/>
        </right>
      </border>
    </dxf>
  </rfmt>
  <rcc rId="6425" sId="25" odxf="1" dxf="1" numFmtId="4">
    <nc r="A12">
      <v>3</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26" sId="25" odxf="1" dxf="1">
    <nc r="B12" t="inlineStr">
      <is>
        <r>
          <rPr>
            <b/>
            <sz val="7"/>
            <rFont val="Arial"/>
            <family val="2"/>
          </rPr>
          <t xml:space="preserve">МЧ </t>
        </r>
        <r>
          <rPr>
            <b/>
            <i/>
            <sz val="7"/>
            <rFont val="Arial"/>
            <family val="2"/>
          </rPr>
          <t>Каскад СТАНДАРТ/ПРЕМИУМ</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27" sId="25" odxf="1" dxf="1" numFmtId="4">
    <nc r="C12">
      <v>1170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28" sId="25" odxf="1" dxf="1" numFmtId="4">
    <nc r="D12">
      <v>1110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29" sId="25" odxf="1" dxf="1">
    <nc r="E12"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0" sId="25" odxf="1" dxf="1">
    <nc r="F1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1" sId="25" odxf="1" dxf="1" numFmtId="4">
    <nc r="G12">
      <v>369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2" sId="25" odxf="1" dxf="1" numFmtId="4">
    <nc r="H12">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3" sId="25" odxf="1" dxf="1" numFmtId="4">
    <nc r="I12">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4" sId="25" odxf="1" dxf="1" numFmtId="4">
    <nc r="J12">
      <v>505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5" sId="25" odxf="1" dxf="1" numFmtId="4">
    <nc r="K12">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L12" start="0" length="0">
    <dxf>
      <alignment horizontal="left" vertical="top" wrapText="1" readingOrder="0"/>
      <border outline="0">
        <left style="thin">
          <color rgb="FF000000"/>
        </left>
        <right style="thin">
          <color rgb="FF000000"/>
        </right>
        <bottom style="thin">
          <color rgb="FF000000"/>
        </bottom>
      </border>
    </dxf>
  </rfmt>
  <rcc rId="6436" sId="25" odxf="1" dxf="1">
    <nc r="M1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7" sId="25" odxf="1" dxf="1">
    <nc r="N1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8" sId="25" odxf="1" dxf="1" numFmtId="4">
    <nc r="O12">
      <v>445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39" sId="25" odxf="1" dxf="1" numFmtId="4">
    <nc r="P12">
      <v>540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40" sId="25" odxf="1" dxf="1" numFmtId="4">
    <nc r="Q12">
      <v>595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1" sId="25" odxf="1" dxf="1" numFmtId="4">
    <nc r="R12">
      <v>610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2" sId="25" odxf="1" dxf="1" numFmtId="4">
    <nc r="S12">
      <v>775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2" start="0" length="0">
    <dxf>
      <font>
        <sz val="7"/>
        <color auto="1"/>
        <name val="Arial"/>
        <scheme val="none"/>
      </font>
      <alignment horizontal="center" vertical="center" wrapText="1" readingOrder="0"/>
      <border outline="0">
        <left style="thin">
          <color rgb="FF000000"/>
        </left>
      </border>
    </dxf>
  </rfmt>
  <rfmt sheetId="25" sqref="U12" start="0" length="0">
    <dxf>
      <font>
        <sz val="7"/>
        <color auto="1"/>
        <name val="Arial"/>
        <scheme val="none"/>
      </font>
      <alignment horizontal="center" vertical="center" wrapText="1" readingOrder="0"/>
    </dxf>
  </rfmt>
  <rfmt sheetId="25" sqref="V12" start="0" length="0">
    <dxf>
      <font>
        <sz val="7"/>
        <color auto="1"/>
        <name val="Arial"/>
        <scheme val="none"/>
      </font>
      <alignment horizontal="center" vertical="center" wrapText="1" readingOrder="0"/>
    </dxf>
  </rfmt>
  <rfmt sheetId="25" sqref="W12" start="0" length="0">
    <dxf>
      <font>
        <sz val="7"/>
        <color auto="1"/>
        <name val="Arial"/>
        <scheme val="none"/>
      </font>
      <alignment horizontal="center" vertical="center" wrapText="1" readingOrder="0"/>
    </dxf>
  </rfmt>
  <rfmt sheetId="25" sqref="X12" start="0" length="0">
    <dxf>
      <font>
        <sz val="7"/>
        <color auto="1"/>
        <name val="Arial"/>
        <scheme val="none"/>
      </font>
      <alignment horizontal="center" vertical="center" wrapText="1" readingOrder="0"/>
    </dxf>
  </rfmt>
  <rfmt sheetId="25" sqref="Y12" start="0" length="0">
    <dxf>
      <font>
        <sz val="7"/>
        <color auto="1"/>
        <name val="Arial"/>
        <scheme val="none"/>
      </font>
      <alignment horizontal="center" vertical="center" wrapText="1" readingOrder="0"/>
      <border outline="0">
        <right style="thin">
          <color rgb="FF000000"/>
        </right>
      </border>
    </dxf>
  </rfmt>
  <rcc rId="6443" sId="25" odxf="1" dxf="1" numFmtId="4">
    <nc r="A13">
      <v>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4" sId="25" odxf="1" dxf="1">
    <nc r="B13" t="inlineStr">
      <is>
        <r>
          <rPr>
            <b/>
            <sz val="7"/>
            <rFont val="Arial"/>
            <family val="2"/>
          </rPr>
          <t xml:space="preserve">МЧ </t>
        </r>
        <r>
          <rPr>
            <b/>
            <i/>
            <sz val="7"/>
            <rFont val="Arial"/>
            <family val="2"/>
          </rPr>
          <t>ГОЛЛАНДИЯ/МАКСИ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45" sId="25" odxf="1" dxf="1" numFmtId="4">
    <nc r="C13">
      <v>1175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46" sId="25" odxf="1" dxf="1" numFmtId="4">
    <nc r="D13">
      <v>1075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47" sId="25" odxf="1" dxf="1">
    <nc r="E13"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48" sId="25" odxf="1" dxf="1" numFmtId="4">
    <nc r="F13">
      <v>325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9" sId="25" odxf="1" dxf="1" numFmtId="4">
    <nc r="G13">
      <v>379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0" sId="25" odxf="1" dxf="1" numFmtId="4">
    <nc r="H13">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1" sId="25" odxf="1" dxf="1" numFmtId="4">
    <nc r="I13">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2" sId="25" odxf="1" dxf="1" numFmtId="4">
    <nc r="J13">
      <v>515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3" sId="25" odxf="1" dxf="1" numFmtId="4">
    <nc r="K13">
      <v>480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4" sId="25" odxf="1" dxf="1" numFmtId="4">
    <nc r="L13">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5" sId="25" odxf="1" dxf="1">
    <nc r="M13"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56" sId="25" odxf="1" dxf="1">
    <nc r="N13"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57" sId="25" odxf="1" dxf="1" numFmtId="4">
    <nc r="O13">
      <v>455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58" sId="25" odxf="1" dxf="1" numFmtId="4">
    <nc r="P13">
      <v>550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59" sId="25" odxf="1" dxf="1" numFmtId="4">
    <nc r="Q13">
      <v>605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0" sId="25" odxf="1" dxf="1" numFmtId="4">
    <nc r="R13">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1" sId="25" odxf="1" dxf="1" numFmtId="4">
    <nc r="S13">
      <v>785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3" start="0" length="0">
    <dxf>
      <font>
        <sz val="7"/>
        <color auto="1"/>
        <name val="Arial"/>
        <scheme val="none"/>
      </font>
      <alignment horizontal="center" vertical="center" wrapText="1" readingOrder="0"/>
      <border outline="0">
        <left style="thin">
          <color rgb="FF000000"/>
        </left>
      </border>
    </dxf>
  </rfmt>
  <rfmt sheetId="25" sqref="U13" start="0" length="0">
    <dxf>
      <font>
        <sz val="7"/>
        <color auto="1"/>
        <name val="Arial"/>
        <scheme val="none"/>
      </font>
      <alignment horizontal="center" vertical="center" wrapText="1" readingOrder="0"/>
    </dxf>
  </rfmt>
  <rfmt sheetId="25" sqref="V13" start="0" length="0">
    <dxf>
      <font>
        <sz val="7"/>
        <color auto="1"/>
        <name val="Arial"/>
        <scheme val="none"/>
      </font>
      <alignment horizontal="center" vertical="center" wrapText="1" readingOrder="0"/>
    </dxf>
  </rfmt>
  <rfmt sheetId="25" sqref="W13" start="0" length="0">
    <dxf>
      <font>
        <sz val="7"/>
        <color auto="1"/>
        <name val="Arial"/>
        <scheme val="none"/>
      </font>
      <alignment horizontal="center" vertical="center" wrapText="1" readingOrder="0"/>
    </dxf>
  </rfmt>
  <rfmt sheetId="25" sqref="X13" start="0" length="0">
    <dxf>
      <font>
        <sz val="7"/>
        <color auto="1"/>
        <name val="Arial"/>
        <scheme val="none"/>
      </font>
      <alignment horizontal="center" vertical="center" wrapText="1" readingOrder="0"/>
    </dxf>
  </rfmt>
  <rfmt sheetId="25" sqref="Y13" start="0" length="0">
    <dxf>
      <font>
        <sz val="7"/>
        <color auto="1"/>
        <name val="Arial"/>
        <scheme val="none"/>
      </font>
      <alignment horizontal="center" vertical="center" wrapText="1" readingOrder="0"/>
      <border outline="0">
        <right style="thin">
          <color rgb="FF000000"/>
        </right>
      </border>
    </dxf>
  </rfmt>
  <rcc rId="6462" sId="25" odxf="1" dxf="1" numFmtId="4">
    <nc r="A14">
      <v>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3" sId="25" odxf="1" dxf="1">
    <nc r="B14" t="inlineStr">
      <is>
        <r>
          <rPr>
            <b/>
            <sz val="7"/>
            <rFont val="Arial"/>
            <family val="2"/>
          </rPr>
          <t xml:space="preserve">МЧ </t>
        </r>
        <r>
          <rPr>
            <b/>
            <i/>
            <sz val="7"/>
            <rFont val="Arial"/>
            <family val="2"/>
          </rPr>
          <t>ГОЛЛАНДИЯ ПРЕМИУМ</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64" sId="25" odxf="1" dxf="1" numFmtId="4">
    <nc r="C14">
      <v>1175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65" sId="25" odxf="1" dxf="1" numFmtId="4">
    <nc r="D14">
      <v>1075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66" sId="25" odxf="1" dxf="1">
    <nc r="E14"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67" sId="25" odxf="1" dxf="1" numFmtId="4">
    <nc r="F14">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8" sId="25" odxf="1" dxf="1" numFmtId="4">
    <nc r="G14">
      <v>389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9" sId="25" odxf="1" dxf="1" numFmtId="4">
    <nc r="H14">
      <v>425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0" sId="25" odxf="1" dxf="1" numFmtId="4">
    <nc r="I14">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1" sId="25" odxf="1" dxf="1" numFmtId="4">
    <nc r="J14">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2" sId="25" odxf="1" dxf="1" numFmtId="4">
    <nc r="K14">
      <v>490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3" sId="25" odxf="1" dxf="1" numFmtId="4">
    <nc r="L14">
      <v>520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4" sId="25" odxf="1" dxf="1">
    <nc r="M1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75" sId="25" odxf="1" dxf="1">
    <nc r="N1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76" sId="25" odxf="1" dxf="1" numFmtId="4">
    <nc r="O14">
      <v>465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77" sId="25" odxf="1" dxf="1" numFmtId="4">
    <nc r="P14">
      <v>560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78" sId="25" odxf="1" dxf="1" numFmtId="4">
    <nc r="Q14">
      <v>615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9" sId="25" odxf="1" dxf="1" numFmtId="4">
    <nc r="R14">
      <v>630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0" sId="25" odxf="1" dxf="1" numFmtId="4">
    <nc r="S14">
      <v>795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4" start="0" length="0">
    <dxf>
      <font>
        <sz val="7"/>
        <color auto="1"/>
        <name val="Arial"/>
        <scheme val="none"/>
      </font>
      <alignment horizontal="center" vertical="center" wrapText="1" readingOrder="0"/>
      <border outline="0">
        <left style="thin">
          <color rgb="FF000000"/>
        </left>
      </border>
    </dxf>
  </rfmt>
  <rfmt sheetId="25" sqref="U14" start="0" length="0">
    <dxf>
      <font>
        <sz val="7"/>
        <color auto="1"/>
        <name val="Arial"/>
        <scheme val="none"/>
      </font>
      <alignment horizontal="center" vertical="center" wrapText="1" readingOrder="0"/>
    </dxf>
  </rfmt>
  <rfmt sheetId="25" sqref="V14" start="0" length="0">
    <dxf>
      <font>
        <sz val="7"/>
        <color auto="1"/>
        <name val="Arial"/>
        <scheme val="none"/>
      </font>
      <alignment horizontal="center" vertical="center" wrapText="1" readingOrder="0"/>
    </dxf>
  </rfmt>
  <rfmt sheetId="25" sqref="W14" start="0" length="0">
    <dxf>
      <font>
        <sz val="7"/>
        <color auto="1"/>
        <name val="Arial"/>
        <scheme val="none"/>
      </font>
      <alignment horizontal="center" vertical="center" wrapText="1" readingOrder="0"/>
    </dxf>
  </rfmt>
  <rfmt sheetId="25" sqref="X14" start="0" length="0">
    <dxf>
      <font>
        <sz val="7"/>
        <color auto="1"/>
        <name val="Arial"/>
        <scheme val="none"/>
      </font>
      <alignment horizontal="center" vertical="center" wrapText="1" readingOrder="0"/>
    </dxf>
  </rfmt>
  <rfmt sheetId="25" sqref="Y14" start="0" length="0">
    <dxf>
      <font>
        <sz val="7"/>
        <color auto="1"/>
        <name val="Arial"/>
        <scheme val="none"/>
      </font>
      <alignment horizontal="center" vertical="center" wrapText="1" readingOrder="0"/>
      <border outline="0">
        <right style="thin">
          <color rgb="FF000000"/>
        </right>
      </border>
    </dxf>
  </rfmt>
  <rcc rId="6481" sId="25" odxf="1" dxf="1" numFmtId="4">
    <nc r="A15">
      <v>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2" sId="25" odxf="1" dxf="1">
    <nc r="B15" t="inlineStr">
      <is>
        <r>
          <rPr>
            <b/>
            <sz val="7"/>
            <rFont val="Arial"/>
            <family val="2"/>
          </rPr>
          <t xml:space="preserve">МЧ </t>
        </r>
        <r>
          <rPr>
            <b/>
            <i/>
            <sz val="7"/>
            <rFont val="Arial"/>
            <family val="2"/>
          </rPr>
          <t>ВЕНЕЦИЯ/МАКСИ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83" sId="25" odxf="1" dxf="1" numFmtId="4">
    <nc r="C15">
      <v>1190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84" sId="25" odxf="1" dxf="1" numFmtId="4">
    <nc r="D15">
      <v>1145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85" sId="25" odxf="1" dxf="1">
    <nc r="E15"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86" sId="25" odxf="1" dxf="1" numFmtId="4">
    <nc r="F15">
      <v>325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7" sId="25" odxf="1" dxf="1" numFmtId="4">
    <nc r="G15">
      <v>379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8" sId="25" odxf="1" dxf="1" numFmtId="4">
    <nc r="H15">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9" sId="25" odxf="1" dxf="1" numFmtId="4">
    <nc r="I15">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0" sId="25" odxf="1" dxf="1" numFmtId="4">
    <nc r="J15">
      <v>515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1" sId="25" odxf="1" dxf="1" numFmtId="4">
    <nc r="K15">
      <v>480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2" sId="25" odxf="1" dxf="1" numFmtId="4">
    <nc r="L15">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3" sId="25" odxf="1" dxf="1">
    <nc r="M15"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94" sId="25" odxf="1" dxf="1">
    <nc r="N15"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95" sId="25" odxf="1" dxf="1" numFmtId="4">
    <nc r="O15">
      <v>455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96" sId="25" odxf="1" dxf="1" numFmtId="4">
    <nc r="P15">
      <v>550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97" sId="25" odxf="1" dxf="1" numFmtId="4">
    <nc r="Q15">
      <v>605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8" sId="25" odxf="1" dxf="1" numFmtId="4">
    <nc r="R15">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9" sId="25" odxf="1" dxf="1" numFmtId="4">
    <nc r="S15">
      <v>785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5" start="0" length="0">
    <dxf>
      <font>
        <sz val="7"/>
        <color auto="1"/>
        <name val="Arial"/>
        <scheme val="none"/>
      </font>
      <alignment horizontal="center" vertical="center" wrapText="1" readingOrder="0"/>
      <border outline="0">
        <left style="thin">
          <color rgb="FF000000"/>
        </left>
      </border>
    </dxf>
  </rfmt>
  <rfmt sheetId="25" sqref="U15" start="0" length="0">
    <dxf>
      <font>
        <sz val="7"/>
        <color auto="1"/>
        <name val="Arial"/>
        <scheme val="none"/>
      </font>
      <alignment horizontal="center" vertical="center" wrapText="1" readingOrder="0"/>
    </dxf>
  </rfmt>
  <rfmt sheetId="25" sqref="V15" start="0" length="0">
    <dxf>
      <font>
        <sz val="7"/>
        <color auto="1"/>
        <name val="Arial"/>
        <scheme val="none"/>
      </font>
      <alignment horizontal="center" vertical="center" wrapText="1" readingOrder="0"/>
    </dxf>
  </rfmt>
  <rfmt sheetId="25" sqref="W15" start="0" length="0">
    <dxf>
      <font>
        <sz val="7"/>
        <color auto="1"/>
        <name val="Arial"/>
        <scheme val="none"/>
      </font>
      <alignment horizontal="center" vertical="center" wrapText="1" readingOrder="0"/>
    </dxf>
  </rfmt>
  <rfmt sheetId="25" sqref="X15" start="0" length="0">
    <dxf>
      <font>
        <sz val="7"/>
        <color auto="1"/>
        <name val="Arial"/>
        <scheme val="none"/>
      </font>
      <alignment horizontal="center" vertical="center" wrapText="1" readingOrder="0"/>
    </dxf>
  </rfmt>
  <rfmt sheetId="25" sqref="Y15" start="0" length="0">
    <dxf>
      <font>
        <sz val="7"/>
        <color auto="1"/>
        <name val="Arial"/>
        <scheme val="none"/>
      </font>
      <alignment horizontal="center" vertical="center" wrapText="1" readingOrder="0"/>
      <border outline="0">
        <right style="thin">
          <color rgb="FF000000"/>
        </right>
      </border>
    </dxf>
  </rfmt>
  <rcc rId="6500" sId="25" odxf="1" dxf="1" numFmtId="4">
    <nc r="A16">
      <v>7</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1" sId="25" odxf="1" dxf="1">
    <nc r="B16" t="inlineStr">
      <is>
        <r>
          <rPr>
            <b/>
            <sz val="7"/>
            <rFont val="Arial"/>
            <family val="2"/>
          </rPr>
          <t xml:space="preserve">МЧ </t>
        </r>
        <r>
          <rPr>
            <b/>
            <i/>
            <sz val="7"/>
            <rFont val="Arial"/>
            <family val="2"/>
          </rPr>
          <t>ВЕНЕЦИЯ ПРЕМИУМ</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02" sId="25" odxf="1" dxf="1" numFmtId="4">
    <nc r="C16">
      <v>1190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03" sId="25" odxf="1" dxf="1" numFmtId="4">
    <nc r="D16">
      <v>1145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04" sId="25" odxf="1" dxf="1">
    <nc r="E16"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05" sId="25" odxf="1" dxf="1" numFmtId="4">
    <nc r="F16">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6" sId="25" odxf="1" dxf="1" numFmtId="4">
    <nc r="G16">
      <v>389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7" sId="25" odxf="1" dxf="1" numFmtId="4">
    <nc r="H16">
      <v>425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8" sId="25" odxf="1" dxf="1" numFmtId="4">
    <nc r="I16">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9" sId="25" odxf="1" dxf="1" numFmtId="4">
    <nc r="J16">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0" sId="25" odxf="1" dxf="1" numFmtId="4">
    <nc r="K16">
      <v>490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1" sId="25" odxf="1" dxf="1" numFmtId="4">
    <nc r="L16">
      <v>520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2" sId="25" odxf="1" dxf="1">
    <nc r="M16"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13" sId="25" odxf="1" dxf="1">
    <nc r="N16"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14" sId="25" odxf="1" dxf="1" numFmtId="4">
    <nc r="O16">
      <v>465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15" sId="25" odxf="1" dxf="1" numFmtId="4">
    <nc r="P16">
      <v>560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16" sId="25" odxf="1" dxf="1" numFmtId="4">
    <nc r="Q16">
      <v>615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7" sId="25" odxf="1" dxf="1" numFmtId="4">
    <nc r="R16">
      <v>630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8" sId="25" odxf="1" dxf="1" numFmtId="4">
    <nc r="S16">
      <v>795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6" start="0" length="0">
    <dxf>
      <font>
        <sz val="7"/>
        <color auto="1"/>
        <name val="Arial"/>
        <scheme val="none"/>
      </font>
      <alignment horizontal="center" vertical="center" wrapText="1" readingOrder="0"/>
      <border outline="0">
        <left style="thin">
          <color rgb="FF000000"/>
        </left>
      </border>
    </dxf>
  </rfmt>
  <rfmt sheetId="25" sqref="U16" start="0" length="0">
    <dxf>
      <font>
        <sz val="7"/>
        <color auto="1"/>
        <name val="Arial"/>
        <scheme val="none"/>
      </font>
      <alignment horizontal="center" vertical="center" wrapText="1" readingOrder="0"/>
    </dxf>
  </rfmt>
  <rfmt sheetId="25" sqref="V16" start="0" length="0">
    <dxf>
      <font>
        <sz val="7"/>
        <color auto="1"/>
        <name val="Arial"/>
        <scheme val="none"/>
      </font>
      <alignment horizontal="center" vertical="center" wrapText="1" readingOrder="0"/>
    </dxf>
  </rfmt>
  <rfmt sheetId="25" sqref="W16" start="0" length="0">
    <dxf>
      <font>
        <sz val="7"/>
        <color auto="1"/>
        <name val="Arial"/>
        <scheme val="none"/>
      </font>
      <alignment horizontal="center" vertical="center" wrapText="1" readingOrder="0"/>
    </dxf>
  </rfmt>
  <rfmt sheetId="25" sqref="X16" start="0" length="0">
    <dxf>
      <font>
        <sz val="7"/>
        <color auto="1"/>
        <name val="Arial"/>
        <scheme val="none"/>
      </font>
      <alignment horizontal="center" vertical="center" wrapText="1" readingOrder="0"/>
    </dxf>
  </rfmt>
  <rfmt sheetId="25" sqref="Y16" start="0" length="0">
    <dxf>
      <font>
        <sz val="7"/>
        <color auto="1"/>
        <name val="Arial"/>
        <scheme val="none"/>
      </font>
      <alignment horizontal="center" vertical="center" wrapText="1" readingOrder="0"/>
      <border outline="0">
        <right style="thin">
          <color rgb="FF000000"/>
        </right>
      </border>
    </dxf>
  </rfmt>
  <rcc rId="6519" sId="25" odxf="1" dxf="1" numFmtId="4">
    <nc r="A17">
      <v>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0" sId="25" odxf="1" dxf="1">
    <nc r="B17" t="inlineStr">
      <is>
        <r>
          <rPr>
            <b/>
            <sz val="7"/>
            <rFont val="Arial"/>
            <family val="2"/>
          </rPr>
          <t xml:space="preserve">МЧ </t>
        </r>
        <r>
          <rPr>
            <b/>
            <i/>
            <sz val="7"/>
            <rFont val="Arial"/>
            <family val="2"/>
          </rPr>
          <t>БАВАРИЯ</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21" sId="25" odxf="1" dxf="1" numFmtId="4">
    <nc r="C17">
      <v>1135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22" sId="25" odxf="1" dxf="1" numFmtId="4">
    <nc r="D17">
      <v>1020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23" sId="25" odxf="1" dxf="1">
    <nc r="E17"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24" sId="25" odxf="1" dxf="1">
    <nc r="F17"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25" sId="25" odxf="1" dxf="1" numFmtId="4">
    <nc r="G17">
      <v>399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6" sId="25" odxf="1" dxf="1" numFmtId="4">
    <nc r="H17">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7" sId="25" odxf="1" dxf="1" numFmtId="4">
    <nc r="I17">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8" sId="25" odxf="1" dxf="1" numFmtId="4">
    <nc r="J17">
      <v>540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9" sId="25" odxf="1" dxf="1" numFmtId="4">
    <nc r="K17">
      <v>500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0" sId="25" odxf="1" dxf="1" numFmtId="4">
    <nc r="L17">
      <v>530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1" sId="25" odxf="1" dxf="1">
    <nc r="M17"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32" sId="25" odxf="1" dxf="1">
    <nc r="N17"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33" sId="25" odxf="1" dxf="1" numFmtId="4">
    <nc r="O17">
      <v>475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34" sId="25" odxf="1" dxf="1" numFmtId="4">
    <nc r="P17">
      <v>570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35" sId="25" odxf="1" dxf="1" numFmtId="4">
    <nc r="Q17">
      <v>625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6" sId="25" odxf="1" dxf="1" numFmtId="4">
    <nc r="R17">
      <v>640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7" sId="25" odxf="1" dxf="1" numFmtId="4">
    <nc r="S17">
      <v>805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7" start="0" length="0">
    <dxf>
      <font>
        <sz val="7"/>
        <color auto="1"/>
        <name val="Arial"/>
        <scheme val="none"/>
      </font>
      <alignment horizontal="center" vertical="center" wrapText="1" readingOrder="0"/>
      <border outline="0">
        <left style="thin">
          <color rgb="FF000000"/>
        </left>
      </border>
    </dxf>
  </rfmt>
  <rfmt sheetId="25" sqref="U17" start="0" length="0">
    <dxf>
      <font>
        <sz val="7"/>
        <color auto="1"/>
        <name val="Arial"/>
        <scheme val="none"/>
      </font>
      <alignment horizontal="center" vertical="center" wrapText="1" readingOrder="0"/>
    </dxf>
  </rfmt>
  <rfmt sheetId="25" sqref="V17" start="0" length="0">
    <dxf>
      <font>
        <sz val="7"/>
        <color auto="1"/>
        <name val="Arial"/>
        <scheme val="none"/>
      </font>
      <alignment horizontal="center" vertical="center" wrapText="1" readingOrder="0"/>
    </dxf>
  </rfmt>
  <rfmt sheetId="25" sqref="W17" start="0" length="0">
    <dxf>
      <font>
        <sz val="7"/>
        <color auto="1"/>
        <name val="Arial"/>
        <scheme val="none"/>
      </font>
      <alignment horizontal="center" vertical="center" wrapText="1" readingOrder="0"/>
    </dxf>
  </rfmt>
  <rfmt sheetId="25" sqref="X17" start="0" length="0">
    <dxf>
      <font>
        <sz val="7"/>
        <color auto="1"/>
        <name val="Arial"/>
        <scheme val="none"/>
      </font>
      <alignment horizontal="center" vertical="center" wrapText="1" readingOrder="0"/>
    </dxf>
  </rfmt>
  <rfmt sheetId="25" sqref="Y17" start="0" length="0">
    <dxf>
      <font>
        <sz val="7"/>
        <color auto="1"/>
        <name val="Arial"/>
        <scheme val="none"/>
      </font>
      <alignment horizontal="center" vertical="center" wrapText="1" readingOrder="0"/>
      <border outline="0">
        <right style="thin">
          <color rgb="FF000000"/>
        </right>
      </border>
    </dxf>
  </rfmt>
  <rcc rId="6538" sId="25" odxf="1" dxf="1" numFmtId="4">
    <nc r="A18">
      <v>9</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9" sId="25" odxf="1" dxf="1">
    <nc r="B18" t="inlineStr">
      <is>
        <r>
          <rPr>
            <b/>
            <sz val="7"/>
            <rFont val="Arial"/>
            <family val="2"/>
          </rPr>
          <t xml:space="preserve">МЧ </t>
        </r>
        <r>
          <rPr>
            <b/>
            <i/>
            <sz val="7"/>
            <rFont val="Arial"/>
            <family val="2"/>
          </rPr>
          <t>БАВАРИЯ 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40" sId="25" odxf="1" dxf="1" numFmtId="4">
    <nc r="C18">
      <v>1135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41" sId="25" odxf="1" dxf="1" numFmtId="4">
    <nc r="D18">
      <v>1020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42" sId="25" odxf="1" dxf="1">
    <nc r="E18"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43" sId="25" odxf="1" dxf="1">
    <nc r="F18"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44" sId="25" odxf="1" dxf="1" numFmtId="4">
    <nc r="G18">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5" sId="25" odxf="1" dxf="1" numFmtId="4">
    <nc r="H18">
      <v>435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6" sId="25" odxf="1" dxf="1" numFmtId="4">
    <nc r="I18">
      <v>465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7" sId="25" odxf="1" dxf="1" numFmtId="4">
    <nc r="J18">
      <v>535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8" sId="25" odxf="1" dxf="1" numFmtId="4">
    <nc r="K18">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9" sId="25" odxf="1" dxf="1" numFmtId="4">
    <nc r="L18">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M18" start="0" length="0">
    <dxf>
      <alignment horizontal="left" vertical="top" wrapText="1" readingOrder="0"/>
      <border outline="0">
        <left style="thin">
          <color rgb="FF000000"/>
        </left>
        <right style="thin">
          <color rgb="FF000000"/>
        </right>
        <top style="thin">
          <color rgb="FF000000"/>
        </top>
        <bottom style="thin">
          <color rgb="FF000000"/>
        </bottom>
      </border>
    </dxf>
  </rfmt>
  <rcc rId="6550" sId="25" odxf="1" dxf="1">
    <nc r="N18"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51" sId="25" odxf="1" dxf="1" numFmtId="4">
    <nc r="O18">
      <v>470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52" sId="25" odxf="1" dxf="1" numFmtId="4">
    <nc r="P18">
      <v>565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53" sId="25" odxf="1" dxf="1" numFmtId="4">
    <nc r="Q18">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54" sId="25" odxf="1" dxf="1" numFmtId="4">
    <nc r="R18">
      <v>635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55" sId="25" odxf="1" dxf="1" numFmtId="4">
    <nc r="S18">
      <v>800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8" start="0" length="0">
    <dxf>
      <font>
        <sz val="7"/>
        <color auto="1"/>
        <name val="Arial"/>
        <scheme val="none"/>
      </font>
      <alignment horizontal="center" vertical="center" wrapText="1" readingOrder="0"/>
      <border outline="0">
        <left style="thin">
          <color rgb="FF000000"/>
        </left>
        <bottom style="thin">
          <color rgb="FF000000"/>
        </bottom>
      </border>
    </dxf>
  </rfmt>
  <rfmt sheetId="25" sqref="U18" start="0" length="0">
    <dxf>
      <font>
        <sz val="7"/>
        <color auto="1"/>
        <name val="Arial"/>
        <scheme val="none"/>
      </font>
      <alignment horizontal="center" vertical="center" wrapText="1" readingOrder="0"/>
      <border outline="0">
        <bottom style="thin">
          <color rgb="FF000000"/>
        </bottom>
      </border>
    </dxf>
  </rfmt>
  <rfmt sheetId="25" sqref="V18" start="0" length="0">
    <dxf>
      <font>
        <sz val="7"/>
        <color auto="1"/>
        <name val="Arial"/>
        <scheme val="none"/>
      </font>
      <alignment horizontal="center" vertical="center" wrapText="1" readingOrder="0"/>
      <border outline="0">
        <bottom style="thin">
          <color rgb="FF000000"/>
        </bottom>
      </border>
    </dxf>
  </rfmt>
  <rfmt sheetId="25" sqref="W18" start="0" length="0">
    <dxf>
      <font>
        <sz val="7"/>
        <color auto="1"/>
        <name val="Arial"/>
        <scheme val="none"/>
      </font>
      <alignment horizontal="center" vertical="center" wrapText="1" readingOrder="0"/>
      <border outline="0">
        <bottom style="thin">
          <color rgb="FF000000"/>
        </bottom>
      </border>
    </dxf>
  </rfmt>
  <rfmt sheetId="25" sqref="X18" start="0" length="0">
    <dxf>
      <font>
        <sz val="7"/>
        <color auto="1"/>
        <name val="Arial"/>
        <scheme val="none"/>
      </font>
      <alignment horizontal="center" vertical="center" wrapText="1" readingOrder="0"/>
      <border outline="0">
        <bottom style="thin">
          <color rgb="FF000000"/>
        </bottom>
      </border>
    </dxf>
  </rfmt>
  <rfmt sheetId="25" sqref="Y18" start="0" length="0">
    <dxf>
      <font>
        <sz val="7"/>
        <color auto="1"/>
        <name val="Arial"/>
        <scheme val="none"/>
      </font>
      <alignment horizontal="center" vertical="center" wrapText="1" readingOrder="0"/>
      <border outline="0">
        <right style="thin">
          <color rgb="FF000000"/>
        </right>
        <bottom style="thin">
          <color rgb="FF000000"/>
        </bottom>
      </border>
    </dxf>
  </rfmt>
  <rcc rId="6556" sId="25" odxf="1" dxf="1" numFmtId="4">
    <nc r="A19">
      <v>10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57" sId="25" odxf="1" dxf="1">
    <nc r="B19" t="inlineStr">
      <is>
        <r>
          <rPr>
            <b/>
            <sz val="7"/>
            <rFont val="Arial"/>
            <family val="2"/>
          </rPr>
          <t xml:space="preserve">Сайдинг </t>
        </r>
        <r>
          <rPr>
            <b/>
            <i/>
            <sz val="7"/>
            <rFont val="Arial"/>
            <family val="2"/>
          </rPr>
          <t>"БРЕВНО"</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58" sId="25" odxf="1" dxf="1" numFmtId="4">
    <nc r="C19">
      <v>375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59" sId="25" odxf="1" dxf="1" numFmtId="4">
    <nc r="D19">
      <v>350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60" sId="25" odxf="1" dxf="1">
    <nc r="E19"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1" sId="25" odxf="1" dxf="1">
    <nc r="F19"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2" sId="25" odxf="1" dxf="1">
    <nc r="G19" t="inlineStr">
      <is>
        <r>
          <rPr>
            <b/>
            <sz val="7"/>
            <rFont val="Arial"/>
            <family val="2"/>
          </rPr>
          <t>405*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3" sId="25" odxf="1" dxf="1">
    <nc r="H19" t="inlineStr">
      <is>
        <r>
          <rPr>
            <b/>
            <sz val="7"/>
            <rFont val="Arial"/>
            <family val="2"/>
          </rPr>
          <t>445*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4" sId="25" odxf="1" dxf="1">
    <nc r="I19" t="inlineStr">
      <is>
        <r>
          <rPr>
            <b/>
            <sz val="7"/>
            <rFont val="Arial"/>
            <family val="2"/>
          </rPr>
          <t>485*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5" sId="25" odxf="1" dxf="1">
    <nc r="J19" t="inlineStr">
      <is>
        <r>
          <rPr>
            <b/>
            <sz val="7"/>
            <rFont val="Arial"/>
            <family val="2"/>
          </rPr>
          <t>555*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6" sId="25" odxf="1" dxf="1">
    <nc r="K19" t="inlineStr">
      <is>
        <r>
          <rPr>
            <b/>
            <sz val="7"/>
            <rFont val="Arial"/>
            <family val="2"/>
          </rPr>
          <t>515*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7" sId="25" odxf="1" dxf="1">
    <nc r="L19"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8" sId="25" odxf="1" dxf="1">
    <nc r="M19"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9" sId="25" odxf="1" dxf="1">
    <nc r="N19"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70" sId="25" odxf="1" dxf="1">
    <nc r="O19" t="inlineStr">
      <is>
        <r>
          <rPr>
            <b/>
            <sz val="7"/>
            <rFont val="Arial"/>
            <family val="2"/>
          </rPr>
          <t>490*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571" sId="25" odxf="1" dxf="1">
    <nc r="P19" t="inlineStr">
      <is>
        <r>
          <rPr>
            <b/>
            <sz val="7"/>
            <rFont val="Arial"/>
            <family val="2"/>
          </rPr>
          <t>585*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572" sId="25" odxf="1" dxf="1">
    <nc r="Q19" t="inlineStr">
      <is>
        <r>
          <rPr>
            <b/>
            <sz val="7"/>
            <rFont val="Arial"/>
            <family val="2"/>
          </rPr>
          <t>640*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73" sId="25" odxf="1" dxf="1">
    <nc r="R19" t="inlineStr">
      <is>
        <r>
          <rPr>
            <b/>
            <sz val="7"/>
            <rFont val="Arial"/>
            <family val="2"/>
          </rPr>
          <t>655*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74" sId="25" odxf="1" dxf="1">
    <nc r="S19" t="inlineStr">
      <is>
        <r>
          <rPr>
            <b/>
            <sz val="7"/>
            <rFont val="Arial"/>
            <family val="2"/>
          </rPr>
          <t>* металл в пленке</t>
        </r>
      </is>
    </nc>
    <odxf>
      <font>
        <b val="0"/>
        <sz val="11"/>
        <color theme="1"/>
        <name val="Calibri"/>
        <scheme val="minor"/>
      </font>
      <alignment horizontal="general" vertical="bottom" wrapText="0" indent="0" relativeIndent="0" readingOrder="0"/>
      <border outline="0">
        <left/>
        <top/>
      </border>
    </odxf>
    <ndxf>
      <font>
        <b/>
        <sz val="7"/>
        <color auto="1"/>
        <name val="Arial"/>
        <scheme val="none"/>
      </font>
      <alignment horizontal="left" vertical="center" wrapText="1" indent="6" relativeIndent="0" readingOrder="0"/>
      <border outline="0">
        <left style="thin">
          <color rgb="FF000000"/>
        </left>
        <top style="thin">
          <color rgb="FF000000"/>
        </top>
      </border>
    </ndxf>
  </rcc>
  <rfmt sheetId="25" sqref="T19" start="0" length="0">
    <dxf>
      <font>
        <b/>
        <sz val="7"/>
        <color auto="1"/>
        <name val="Arial"/>
        <scheme val="none"/>
      </font>
      <alignment horizontal="left" vertical="center" wrapText="1" indent="6" relativeIndent="0" readingOrder="0"/>
      <border outline="0">
        <top style="thin">
          <color rgb="FF000000"/>
        </top>
      </border>
    </dxf>
  </rfmt>
  <rfmt sheetId="25" sqref="U19" start="0" length="0">
    <dxf>
      <font>
        <b/>
        <sz val="7"/>
        <color auto="1"/>
        <name val="Arial"/>
        <scheme val="none"/>
      </font>
      <alignment horizontal="left" vertical="center" wrapText="1" indent="6" relativeIndent="0" readingOrder="0"/>
      <border outline="0">
        <top style="thin">
          <color rgb="FF000000"/>
        </top>
      </border>
    </dxf>
  </rfmt>
  <rfmt sheetId="25" sqref="V19" start="0" length="0">
    <dxf>
      <font>
        <b/>
        <sz val="7"/>
        <color auto="1"/>
        <name val="Arial"/>
        <scheme val="none"/>
      </font>
      <alignment horizontal="left" vertical="center" wrapText="1" indent="6" relativeIndent="0" readingOrder="0"/>
      <border outline="0">
        <top style="thin">
          <color rgb="FF000000"/>
        </top>
      </border>
    </dxf>
  </rfmt>
  <rfmt sheetId="25" sqref="W19" start="0" length="0">
    <dxf>
      <font>
        <b/>
        <sz val="7"/>
        <color auto="1"/>
        <name val="Arial"/>
        <scheme val="none"/>
      </font>
      <alignment horizontal="left" vertical="center" wrapText="1" indent="6" relativeIndent="0" readingOrder="0"/>
      <border outline="0">
        <top style="thin">
          <color rgb="FF000000"/>
        </top>
      </border>
    </dxf>
  </rfmt>
  <rfmt sheetId="25" sqref="X19" start="0" length="0">
    <dxf>
      <font>
        <b/>
        <sz val="7"/>
        <color auto="1"/>
        <name val="Arial"/>
        <scheme val="none"/>
      </font>
      <alignment horizontal="left" vertical="center" wrapText="1" indent="6" relativeIndent="0" readingOrder="0"/>
      <border outline="0">
        <top style="thin">
          <color rgb="FF000000"/>
        </top>
      </border>
    </dxf>
  </rfmt>
  <rfmt sheetId="25" sqref="Y19" start="0" length="0">
    <dxf>
      <font>
        <b/>
        <sz val="7"/>
        <color auto="1"/>
        <name val="Arial"/>
        <scheme val="none"/>
      </font>
      <alignment horizontal="left" vertical="center" wrapText="1" indent="6" relativeIndent="0" readingOrder="0"/>
      <border outline="0">
        <right style="thin">
          <color rgb="FF000000"/>
        </right>
        <top style="thin">
          <color rgb="FF000000"/>
        </top>
      </border>
    </dxf>
  </rfmt>
  <rcc rId="6575" sId="25" odxf="1" dxf="1" numFmtId="4">
    <nc r="A20">
      <v>11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76" sId="25" odxf="1" dxf="1">
    <nc r="B20" t="inlineStr">
      <is>
        <r>
          <rPr>
            <b/>
            <sz val="7"/>
            <rFont val="Arial"/>
            <family val="2"/>
          </rPr>
          <t xml:space="preserve">Сайдинг </t>
        </r>
        <r>
          <rPr>
            <b/>
            <i/>
            <sz val="7"/>
            <rFont val="Arial"/>
            <family val="2"/>
          </rPr>
          <t>"КОРАБЕЛЬНАЯ ДОСКА"</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77" sId="25" odxf="1" dxf="1" numFmtId="4">
    <nc r="C20">
      <v>260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78" sId="25" odxf="1" dxf="1" numFmtId="4">
    <nc r="D20">
      <v>226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79" sId="25" odxf="1" dxf="1">
    <nc r="E20"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0" sId="25" odxf="1" dxf="1">
    <nc r="F2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1" sId="25" odxf="1" dxf="1">
    <nc r="G20" t="inlineStr">
      <is>
        <r>
          <rPr>
            <b/>
            <sz val="7"/>
            <rFont val="Arial"/>
            <family val="2"/>
          </rPr>
          <t>395*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2" sId="25" odxf="1" dxf="1">
    <nc r="H20" t="inlineStr">
      <is>
        <r>
          <rPr>
            <b/>
            <sz val="7"/>
            <rFont val="Arial"/>
            <family val="2"/>
          </rPr>
          <t>435*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3" sId="25" odxf="1" dxf="1">
    <nc r="I20" t="inlineStr">
      <is>
        <r>
          <rPr>
            <b/>
            <sz val="7"/>
            <rFont val="Arial"/>
            <family val="2"/>
          </rPr>
          <t>475*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4" sId="25" odxf="1" dxf="1">
    <nc r="J20"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5" sId="25" odxf="1" dxf="1">
    <nc r="K20" t="inlineStr">
      <is>
        <r>
          <rPr>
            <b/>
            <sz val="7"/>
            <rFont val="Arial"/>
            <family val="2"/>
          </rPr>
          <t>505*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6" sId="25" odxf="1" dxf="1">
    <nc r="L20" t="inlineStr">
      <is>
        <r>
          <rPr>
            <b/>
            <sz val="7"/>
            <rFont val="Arial"/>
            <family val="2"/>
          </rPr>
          <t>535*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7" sId="25" odxf="1" dxf="1">
    <nc r="M2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N20" start="0" length="0">
    <dxf>
      <alignment horizontal="left" vertical="top" wrapText="1" readingOrder="0"/>
      <border outline="0">
        <left style="thin">
          <color rgb="FF000000"/>
        </left>
        <right style="thin">
          <color rgb="FF000000"/>
        </right>
        <top style="thin">
          <color rgb="FF000000"/>
        </top>
        <bottom style="thin">
          <color rgb="FF000000"/>
        </bottom>
      </border>
    </dxf>
  </rfmt>
  <rcc rId="6588" sId="25" odxf="1" dxf="1">
    <nc r="O20" t="inlineStr">
      <is>
        <r>
          <rPr>
            <b/>
            <sz val="7"/>
            <rFont val="Arial"/>
            <family val="2"/>
          </rPr>
          <t>480*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589" sId="25" odxf="1" dxf="1">
    <nc r="P20" t="inlineStr">
      <is>
        <r>
          <rPr>
            <b/>
            <sz val="7"/>
            <rFont val="Arial"/>
            <family val="2"/>
          </rPr>
          <t>575*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590" sId="25" odxf="1" dxf="1">
    <nc r="Q20" t="inlineStr">
      <is>
        <r>
          <rPr>
            <b/>
            <sz val="7"/>
            <rFont val="Arial"/>
            <family val="2"/>
          </rPr>
          <t>630*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1" sId="25" odxf="1" dxf="1">
    <nc r="R20" t="inlineStr">
      <is>
        <r>
          <rPr>
            <b/>
            <sz val="7"/>
            <rFont val="Arial"/>
            <family val="2"/>
          </rPr>
          <t>645*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S20" start="0" length="0">
    <dxf>
      <font>
        <b/>
        <sz val="7"/>
        <color auto="1"/>
        <name val="Arial"/>
        <scheme val="none"/>
      </font>
      <alignment horizontal="left" vertical="center" wrapText="1" indent="6" relativeIndent="0" readingOrder="0"/>
      <border outline="0">
        <left style="thin">
          <color rgb="FF000000"/>
        </left>
      </border>
    </dxf>
  </rfmt>
  <rfmt sheetId="25" sqref="T20" start="0" length="0">
    <dxf>
      <font>
        <b/>
        <sz val="7"/>
        <color auto="1"/>
        <name val="Arial"/>
        <scheme val="none"/>
      </font>
      <alignment horizontal="left" vertical="center" wrapText="1" indent="6" relativeIndent="0" readingOrder="0"/>
    </dxf>
  </rfmt>
  <rfmt sheetId="25" sqref="U20" start="0" length="0">
    <dxf>
      <font>
        <b/>
        <sz val="7"/>
        <color auto="1"/>
        <name val="Arial"/>
        <scheme val="none"/>
      </font>
      <alignment horizontal="left" vertical="center" wrapText="1" indent="6" relativeIndent="0" readingOrder="0"/>
    </dxf>
  </rfmt>
  <rfmt sheetId="25" sqref="V20" start="0" length="0">
    <dxf>
      <font>
        <b/>
        <sz val="7"/>
        <color auto="1"/>
        <name val="Arial"/>
        <scheme val="none"/>
      </font>
      <alignment horizontal="left" vertical="center" wrapText="1" indent="6" relativeIndent="0" readingOrder="0"/>
    </dxf>
  </rfmt>
  <rfmt sheetId="25" sqref="W20" start="0" length="0">
    <dxf>
      <font>
        <b/>
        <sz val="7"/>
        <color auto="1"/>
        <name val="Arial"/>
        <scheme val="none"/>
      </font>
      <alignment horizontal="left" vertical="center" wrapText="1" indent="6" relativeIndent="0" readingOrder="0"/>
    </dxf>
  </rfmt>
  <rfmt sheetId="25" sqref="X20" start="0" length="0">
    <dxf>
      <font>
        <b/>
        <sz val="7"/>
        <color auto="1"/>
        <name val="Arial"/>
        <scheme val="none"/>
      </font>
      <alignment horizontal="left" vertical="center" wrapText="1" indent="6" relativeIndent="0" readingOrder="0"/>
    </dxf>
  </rfmt>
  <rfmt sheetId="25" sqref="Y20" start="0" length="0">
    <dxf>
      <font>
        <b/>
        <sz val="7"/>
        <color auto="1"/>
        <name val="Arial"/>
        <scheme val="none"/>
      </font>
      <alignment horizontal="left" vertical="center" wrapText="1" indent="6" relativeIndent="0" readingOrder="0"/>
      <border outline="0">
        <right style="thin">
          <color rgb="FF000000"/>
        </right>
      </border>
    </dxf>
  </rfmt>
  <rcc rId="6592" sId="25" odxf="1" dxf="1" numFmtId="4">
    <nc r="A21">
      <v>12</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93" sId="25" odxf="1" dxf="1">
    <nc r="B21" t="inlineStr">
      <is>
        <r>
          <rPr>
            <b/>
            <sz val="7"/>
            <rFont val="Arial"/>
            <family val="2"/>
          </rPr>
          <t xml:space="preserve">Сайдинг </t>
        </r>
        <r>
          <rPr>
            <b/>
            <i/>
            <sz val="7"/>
            <rFont val="Arial"/>
            <family val="2"/>
          </rPr>
          <t>"ЭЛЬБРУС"</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94" sId="25" odxf="1" dxf="1" numFmtId="4">
    <nc r="C21">
      <v>264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95" sId="25" odxf="1" dxf="1" numFmtId="4">
    <nc r="D21">
      <v>240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96" sId="25" odxf="1" dxf="1">
    <nc r="E21"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7" sId="25" odxf="1" dxf="1">
    <nc r="F2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8" sId="25" odxf="1" dxf="1">
    <nc r="G21" t="inlineStr">
      <is>
        <r>
          <rPr>
            <b/>
            <sz val="7"/>
            <rFont val="Arial"/>
            <family val="2"/>
          </rPr>
          <t>405*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9" sId="25" odxf="1" dxf="1">
    <nc r="H21" t="inlineStr">
      <is>
        <r>
          <rPr>
            <b/>
            <sz val="7"/>
            <rFont val="Arial"/>
            <family val="2"/>
          </rPr>
          <t>445*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0" sId="25" odxf="1" dxf="1">
    <nc r="I21" t="inlineStr">
      <is>
        <r>
          <rPr>
            <b/>
            <sz val="7"/>
            <rFont val="Arial"/>
            <family val="2"/>
          </rPr>
          <t>485*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1" sId="25" odxf="1" dxf="1">
    <nc r="J21" t="inlineStr">
      <is>
        <r>
          <rPr>
            <b/>
            <sz val="7"/>
            <rFont val="Arial"/>
            <family val="2"/>
          </rPr>
          <t>555*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2" sId="25" odxf="1" dxf="1">
    <nc r="K21" t="inlineStr">
      <is>
        <r>
          <rPr>
            <b/>
            <sz val="7"/>
            <rFont val="Arial"/>
            <family val="2"/>
          </rPr>
          <t>515*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3" sId="25" odxf="1" dxf="1">
    <nc r="L21"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4" sId="25" odxf="1" dxf="1">
    <nc r="M2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5" sId="25" odxf="1" dxf="1">
    <nc r="N2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6" sId="25" odxf="1" dxf="1">
    <nc r="O21" t="inlineStr">
      <is>
        <r>
          <rPr>
            <b/>
            <sz val="7"/>
            <rFont val="Arial"/>
            <family val="2"/>
          </rPr>
          <t>490*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607" sId="25" odxf="1" dxf="1">
    <nc r="P21" t="inlineStr">
      <is>
        <r>
          <rPr>
            <b/>
            <sz val="7"/>
            <rFont val="Arial"/>
            <family val="2"/>
          </rPr>
          <t>585*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08" sId="25" odxf="1" dxf="1">
    <nc r="Q21" t="inlineStr">
      <is>
        <r>
          <rPr>
            <b/>
            <sz val="7"/>
            <rFont val="Arial"/>
            <family val="2"/>
          </rPr>
          <t>640*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9" sId="25" odxf="1" dxf="1">
    <nc r="R21" t="inlineStr">
      <is>
        <r>
          <rPr>
            <b/>
            <sz val="7"/>
            <rFont val="Arial"/>
            <family val="2"/>
          </rPr>
          <t>655*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S21" start="0" length="0">
    <dxf>
      <font>
        <b/>
        <sz val="7"/>
        <color auto="1"/>
        <name val="Arial"/>
        <scheme val="none"/>
      </font>
      <alignment horizontal="left" vertical="center" wrapText="1" indent="6" relativeIndent="0" readingOrder="0"/>
      <border outline="0">
        <left style="thin">
          <color rgb="FF000000"/>
        </left>
      </border>
    </dxf>
  </rfmt>
  <rfmt sheetId="25" sqref="T21" start="0" length="0">
    <dxf>
      <font>
        <b/>
        <sz val="7"/>
        <color auto="1"/>
        <name val="Arial"/>
        <scheme val="none"/>
      </font>
      <alignment horizontal="left" vertical="center" wrapText="1" indent="6" relativeIndent="0" readingOrder="0"/>
    </dxf>
  </rfmt>
  <rfmt sheetId="25" sqref="U21" start="0" length="0">
    <dxf>
      <font>
        <b/>
        <sz val="7"/>
        <color auto="1"/>
        <name val="Arial"/>
        <scheme val="none"/>
      </font>
      <alignment horizontal="left" vertical="center" wrapText="1" indent="6" relativeIndent="0" readingOrder="0"/>
    </dxf>
  </rfmt>
  <rfmt sheetId="25" sqref="V21" start="0" length="0">
    <dxf>
      <font>
        <b/>
        <sz val="7"/>
        <color auto="1"/>
        <name val="Arial"/>
        <scheme val="none"/>
      </font>
      <alignment horizontal="left" vertical="center" wrapText="1" indent="6" relativeIndent="0" readingOrder="0"/>
    </dxf>
  </rfmt>
  <rfmt sheetId="25" sqref="W21" start="0" length="0">
    <dxf>
      <font>
        <b/>
        <sz val="7"/>
        <color auto="1"/>
        <name val="Arial"/>
        <scheme val="none"/>
      </font>
      <alignment horizontal="left" vertical="center" wrapText="1" indent="6" relativeIndent="0" readingOrder="0"/>
    </dxf>
  </rfmt>
  <rfmt sheetId="25" sqref="X21" start="0" length="0">
    <dxf>
      <font>
        <b/>
        <sz val="7"/>
        <color auto="1"/>
        <name val="Arial"/>
        <scheme val="none"/>
      </font>
      <alignment horizontal="left" vertical="center" wrapText="1" indent="6" relativeIndent="0" readingOrder="0"/>
    </dxf>
  </rfmt>
  <rfmt sheetId="25" sqref="Y21" start="0" length="0">
    <dxf>
      <font>
        <b/>
        <sz val="7"/>
        <color auto="1"/>
        <name val="Arial"/>
        <scheme val="none"/>
      </font>
      <alignment horizontal="left" vertical="center" wrapText="1" indent="6" relativeIndent="0" readingOrder="0"/>
      <border outline="0">
        <right style="thin">
          <color rgb="FF000000"/>
        </right>
      </border>
    </dxf>
  </rfmt>
  <rcc rId="6610" sId="25" odxf="1" dxf="1" numFmtId="4">
    <nc r="A22">
      <v>13</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11" sId="25" odxf="1" dxf="1">
    <nc r="B22" t="inlineStr">
      <is>
        <r>
          <rPr>
            <b/>
            <i/>
            <sz val="7"/>
            <rFont val="Arial"/>
            <family val="2"/>
          </rPr>
          <t>СОФИТ</t>
        </r>
      </is>
    </nc>
    <odxf>
      <font>
        <b val="0"/>
        <i val="0"/>
        <sz val="11"/>
        <color theme="1"/>
        <name val="Calibri"/>
        <scheme val="minor"/>
      </font>
      <alignment horizontal="general" vertical="bottom" wrapText="0" readingOrder="0"/>
      <border outline="0">
        <left/>
        <right/>
        <top/>
        <bottom/>
      </border>
    </odxf>
    <ndxf>
      <font>
        <b/>
        <i/>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12" sId="25" odxf="1" dxf="1" numFmtId="4">
    <nc r="C22">
      <v>264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13" sId="25" odxf="1" dxf="1" numFmtId="4">
    <nc r="D22">
      <v>240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14" sId="25" odxf="1" dxf="1">
    <nc r="E22"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5" sId="25" odxf="1" dxf="1">
    <nc r="F2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6" sId="25" odxf="1" dxf="1">
    <nc r="G22" t="inlineStr">
      <is>
        <r>
          <rPr>
            <b/>
            <sz val="7"/>
            <rFont val="Arial"/>
            <family val="2"/>
          </rPr>
          <t>405*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7" sId="25" odxf="1" dxf="1">
    <nc r="H22" t="inlineStr">
      <is>
        <r>
          <rPr>
            <b/>
            <sz val="7"/>
            <rFont val="Arial"/>
            <family val="2"/>
          </rPr>
          <t>445*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8" sId="25" odxf="1" dxf="1">
    <nc r="I22" t="inlineStr">
      <is>
        <r>
          <rPr>
            <b/>
            <sz val="7"/>
            <rFont val="Arial"/>
            <family val="2"/>
          </rPr>
          <t>485*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9" sId="25" odxf="1" dxf="1">
    <nc r="J22" t="inlineStr">
      <is>
        <r>
          <rPr>
            <b/>
            <sz val="7"/>
            <rFont val="Arial"/>
            <family val="2"/>
          </rPr>
          <t>555*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20" sId="25" odxf="1" dxf="1">
    <nc r="K22" t="inlineStr">
      <is>
        <r>
          <rPr>
            <b/>
            <sz val="7"/>
            <rFont val="Arial"/>
            <family val="2"/>
          </rPr>
          <t>515*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21" sId="25" odxf="1" dxf="1">
    <nc r="L22"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M22"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N22" start="0" length="0">
    <dxf>
      <alignment horizontal="left" vertical="top" wrapText="1" readingOrder="0"/>
      <border outline="0">
        <left style="thin">
          <color rgb="FF000000"/>
        </left>
        <right style="thin">
          <color rgb="FF000000"/>
        </right>
        <top style="thin">
          <color rgb="FF000000"/>
        </top>
        <bottom style="thin">
          <color rgb="FF000000"/>
        </bottom>
      </border>
    </dxf>
  </rfmt>
  <rcc rId="6622" sId="25" odxf="1" dxf="1">
    <nc r="O22" t="inlineStr">
      <is>
        <r>
          <rPr>
            <b/>
            <sz val="7"/>
            <rFont val="Arial"/>
            <family val="2"/>
          </rPr>
          <t>490*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623" sId="25" odxf="1" dxf="1">
    <nc r="P22" t="inlineStr">
      <is>
        <r>
          <rPr>
            <b/>
            <sz val="7"/>
            <rFont val="Arial"/>
            <family val="2"/>
          </rPr>
          <t>585*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24" sId="25" odxf="1" dxf="1">
    <nc r="Q22" t="inlineStr">
      <is>
        <r>
          <rPr>
            <b/>
            <sz val="7"/>
            <rFont val="Arial"/>
            <family val="2"/>
          </rPr>
          <t>640*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25" sId="25" odxf="1" dxf="1">
    <nc r="R22" t="inlineStr">
      <is>
        <r>
          <rPr>
            <b/>
            <sz val="7"/>
            <rFont val="Arial"/>
            <family val="2"/>
          </rPr>
          <t>655*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S22" start="0" length="0">
    <dxf>
      <font>
        <b/>
        <sz val="7"/>
        <color auto="1"/>
        <name val="Arial"/>
        <scheme val="none"/>
      </font>
      <alignment horizontal="left" vertical="center" wrapText="1" indent="6" relativeIndent="0" readingOrder="0"/>
      <border outline="0">
        <left style="thin">
          <color rgb="FF000000"/>
        </left>
        <bottom style="thin">
          <color rgb="FF000000"/>
        </bottom>
      </border>
    </dxf>
  </rfmt>
  <rfmt sheetId="25" sqref="T22" start="0" length="0">
    <dxf>
      <font>
        <b/>
        <sz val="7"/>
        <color auto="1"/>
        <name val="Arial"/>
        <scheme val="none"/>
      </font>
      <alignment horizontal="left" vertical="center" wrapText="1" indent="6" relativeIndent="0" readingOrder="0"/>
      <border outline="0">
        <bottom style="thin">
          <color rgb="FF000000"/>
        </bottom>
      </border>
    </dxf>
  </rfmt>
  <rfmt sheetId="25" sqref="U22" start="0" length="0">
    <dxf>
      <font>
        <b/>
        <sz val="7"/>
        <color auto="1"/>
        <name val="Arial"/>
        <scheme val="none"/>
      </font>
      <alignment horizontal="left" vertical="center" wrapText="1" indent="6" relativeIndent="0" readingOrder="0"/>
      <border outline="0">
        <bottom style="thin">
          <color rgb="FF000000"/>
        </bottom>
      </border>
    </dxf>
  </rfmt>
  <rfmt sheetId="25" sqref="V22" start="0" length="0">
    <dxf>
      <font>
        <b/>
        <sz val="7"/>
        <color auto="1"/>
        <name val="Arial"/>
        <scheme val="none"/>
      </font>
      <alignment horizontal="left" vertical="center" wrapText="1" indent="6" relativeIndent="0" readingOrder="0"/>
      <border outline="0">
        <bottom style="thin">
          <color rgb="FF000000"/>
        </bottom>
      </border>
    </dxf>
  </rfmt>
  <rfmt sheetId="25" sqref="W22" start="0" length="0">
    <dxf>
      <font>
        <b/>
        <sz val="7"/>
        <color auto="1"/>
        <name val="Arial"/>
        <scheme val="none"/>
      </font>
      <alignment horizontal="left" vertical="center" wrapText="1" indent="6" relativeIndent="0" readingOrder="0"/>
      <border outline="0">
        <bottom style="thin">
          <color rgb="FF000000"/>
        </bottom>
      </border>
    </dxf>
  </rfmt>
  <rfmt sheetId="25" sqref="X22" start="0" length="0">
    <dxf>
      <font>
        <b/>
        <sz val="7"/>
        <color auto="1"/>
        <name val="Arial"/>
        <scheme val="none"/>
      </font>
      <alignment horizontal="left" vertical="center" wrapText="1" indent="6" relativeIndent="0" readingOrder="0"/>
      <border outline="0">
        <bottom style="thin">
          <color rgb="FF000000"/>
        </bottom>
      </border>
    </dxf>
  </rfmt>
  <rfmt sheetId="25" sqref="Y22" start="0" length="0">
    <dxf>
      <font>
        <b/>
        <sz val="7"/>
        <color auto="1"/>
        <name val="Arial"/>
        <scheme val="none"/>
      </font>
      <alignment horizontal="left" vertical="center" wrapText="1" indent="6" relativeIndent="0" readingOrder="0"/>
      <border outline="0">
        <right style="thin">
          <color rgb="FF000000"/>
        </right>
        <bottom style="thin">
          <color rgb="FF000000"/>
        </bottom>
      </border>
    </dxf>
  </rfmt>
  <rcc rId="6626" sId="25" odxf="1" dxf="1" numFmtId="4">
    <nc r="A23">
      <v>14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27" sId="25" odxf="1" dxf="1">
    <nc r="B23" t="inlineStr">
      <is>
        <r>
          <rPr>
            <b/>
            <sz val="7"/>
            <rFont val="Arial"/>
            <family val="2"/>
          </rPr>
          <t>Гладкий лист</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28" sId="25" odxf="1" dxf="1" numFmtId="4">
    <nc r="C23">
      <v>1250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29" sId="25" odxf="1" dxf="1" numFmtId="4">
    <nc r="D23">
      <v>1250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30" sId="25" odxf="1" dxf="1">
    <nc r="E23"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31" sId="25" odxf="1" dxf="1" numFmtId="4">
    <nc r="F23">
      <v>285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2" sId="25" odxf="1" dxf="1" numFmtId="4">
    <nc r="G23">
      <v>340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3" sId="25" odxf="1" dxf="1" numFmtId="4">
    <nc r="H23">
      <v>375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4" sId="25" odxf="1" dxf="1" numFmtId="4">
    <nc r="I23">
      <v>400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5" sId="25" odxf="1" dxf="1" numFmtId="4">
    <nc r="J23">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6" sId="25" odxf="1" dxf="1" numFmtId="4">
    <nc r="K23">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7" sId="25" odxf="1" dxf="1" numFmtId="4">
    <nc r="L23">
      <v>480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8" sId="25" odxf="1" dxf="1" numFmtId="4">
    <nc r="M23">
      <v>410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9" sId="25" odxf="1" dxf="1" numFmtId="4">
    <nc r="N23">
      <v>479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0" sId="25" odxf="1" dxf="1" numFmtId="4">
    <nc r="O23">
      <v>405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41" sId="25" odxf="1" dxf="1" numFmtId="4">
    <nc r="P23">
      <v>520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42" sId="25" odxf="1" dxf="1" numFmtId="4">
    <nc r="Q23">
      <v>575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3" sId="25" odxf="1" dxf="1" numFmtId="4">
    <nc r="R23">
      <v>590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4" sId="25" odxf="1" dxf="1" numFmtId="4">
    <nc r="S23">
      <v>755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5" sId="25" odxf="1" dxf="1">
    <nc r="T23" t="inlineStr">
      <is>
        <r>
          <rPr>
            <b/>
            <sz val="7"/>
            <color rgb="FFCC0000"/>
            <rFont val="Arial"/>
            <family val="2"/>
          </rPr>
          <t>п</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646" sId="25" odxf="1" dxf="1" numFmtId="4">
    <nc r="U23">
      <v>262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7" sId="25" odxf="1" dxf="1" numFmtId="4">
    <nc r="V23">
      <v>285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8" sId="25" odxf="1" dxf="1" numFmtId="4">
    <nc r="W23">
      <v>390</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center" shrinkToFit="1" readingOrder="0"/>
      <border outline="0">
        <left style="thin">
          <color rgb="FF000000"/>
        </left>
        <right style="thin">
          <color rgb="FF000000"/>
        </right>
        <top style="thin">
          <color rgb="FF000000"/>
        </top>
        <bottom style="thin">
          <color rgb="FF000000"/>
        </bottom>
      </border>
    </ndxf>
  </rcc>
  <rcc rId="6649" sId="25" odxf="1" dxf="1">
    <nc r="X23" t="inlineStr">
      <is>
        <r>
          <rPr>
            <b/>
            <sz val="7"/>
            <color rgb="FFCC0000"/>
            <rFont val="Arial"/>
            <family val="2"/>
          </rPr>
          <t>ПО ЗАПРОСУ!!!</t>
        </r>
      </is>
    </nc>
    <odxf>
      <font>
        <b val="0"/>
        <sz val="11"/>
        <color theme="1"/>
        <name val="Calibri"/>
        <scheme val="minor"/>
      </font>
      <alignment horizontal="general" vertical="bottom" wrapText="0" readingOrder="0"/>
      <border outline="0">
        <left/>
        <top/>
      </border>
    </odxf>
    <ndxf>
      <font>
        <b/>
        <sz val="7"/>
        <color auto="1"/>
        <name val="Arial"/>
        <scheme val="none"/>
      </font>
      <alignment horizontal="left" vertical="center" wrapText="1" readingOrder="0"/>
      <border outline="0">
        <left style="thin">
          <color rgb="FF000000"/>
        </left>
        <top style="thin">
          <color rgb="FF000000"/>
        </top>
      </border>
    </ndxf>
  </rcc>
  <rfmt sheetId="25" sqref="Y23" start="0" length="0">
    <dxf>
      <font>
        <b/>
        <sz val="7"/>
        <color auto="1"/>
        <name val="Arial"/>
        <scheme val="none"/>
      </font>
      <alignment horizontal="left" vertical="center" wrapText="1" readingOrder="0"/>
      <border outline="0">
        <right style="thin">
          <color rgb="FF000000"/>
        </right>
        <top style="thin">
          <color rgb="FF000000"/>
        </top>
      </border>
    </dxf>
  </rfmt>
  <rcc rId="6650" sId="25" odxf="1" dxf="1" numFmtId="4">
    <nc r="A24">
      <v>15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1" sId="25" odxf="1" dxf="1">
    <nc r="B24" t="inlineStr">
      <is>
        <r>
          <rPr>
            <b/>
            <sz val="7"/>
            <rFont val="Arial"/>
            <family val="2"/>
          </rPr>
          <t>Профиль Каскадный(А,В)</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52" sId="25" odxf="1" dxf="1" numFmtId="4">
    <nc r="C24">
      <v>1170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53" sId="25" odxf="1" dxf="1" numFmtId="4">
    <nc r="D24">
      <v>1120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54" sId="25" odxf="1" dxf="1">
    <nc r="E24"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55" sId="25" odxf="1" dxf="1" numFmtId="4">
    <nc r="F24">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6" sId="25" odxf="1" dxf="1" numFmtId="4">
    <nc r="G24">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7" sId="25" odxf="1" dxf="1" numFmtId="4">
    <nc r="H24">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8" sId="25" odxf="1" dxf="1" numFmtId="4">
    <nc r="I24">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9" sId="25" odxf="1" dxf="1" numFmtId="4">
    <nc r="J24">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0" sId="25" odxf="1" dxf="1" numFmtId="4">
    <nc r="K24">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1" sId="25" odxf="1" dxf="1" numFmtId="4">
    <nc r="L24">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2" sId="25" odxf="1" dxf="1" numFmtId="4">
    <nc r="M24">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3" sId="25" odxf="1" dxf="1">
    <nc r="N2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64" sId="25" odxf="1" dxf="1" numFmtId="4">
    <nc r="O24">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65" sId="25" odxf="1" dxf="1" numFmtId="4">
    <nc r="P24">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66" sId="25" odxf="1" dxf="1" numFmtId="4">
    <nc r="Q24">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7" sId="25" odxf="1" dxf="1" numFmtId="4">
    <nc r="R24">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8" sId="25" odxf="1" dxf="1" numFmtId="4">
    <nc r="S24">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9" sId="25" odxf="1" dxf="1">
    <nc r="T24" t="inlineStr">
      <is>
        <r>
          <rPr>
            <sz val="7"/>
            <color rgb="FFCC0000"/>
            <rFont val="Arial"/>
            <family val="2"/>
          </rPr>
          <t>о</t>
        </r>
      </is>
    </nc>
    <odxf>
      <font>
        <sz val="11"/>
        <color theme="1"/>
        <name val="Calibri"/>
        <scheme val="minor"/>
      </font>
      <alignment horizontal="general" vertical="bottom" wrapText="0" indent="0" relativeIndent="0" readingOrder="0"/>
      <border outline="0">
        <left/>
        <right/>
        <top/>
        <bottom/>
      </border>
    </odxf>
    <ndxf>
      <font>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fmt sheetId="25" sqref="U24"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V24"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W24"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4" start="0" length="0">
    <dxf>
      <font>
        <b/>
        <sz val="7"/>
        <color auto="1"/>
        <name val="Arial"/>
        <scheme val="none"/>
      </font>
      <alignment horizontal="left" vertical="center" wrapText="1" readingOrder="0"/>
      <border outline="0">
        <left style="thin">
          <color rgb="FF000000"/>
        </left>
      </border>
    </dxf>
  </rfmt>
  <rfmt sheetId="25" sqref="Y24" start="0" length="0">
    <dxf>
      <font>
        <b/>
        <sz val="7"/>
        <color auto="1"/>
        <name val="Arial"/>
        <scheme val="none"/>
      </font>
      <alignment horizontal="left" vertical="center" wrapText="1" readingOrder="0"/>
      <border outline="0">
        <right style="thin">
          <color rgb="FF000000"/>
        </right>
      </border>
    </dxf>
  </rfmt>
  <rcc rId="6670" sId="25" odxf="1" dxf="1" numFmtId="4">
    <nc r="A25">
      <v>16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1" sId="25" odxf="1" dxf="1">
    <nc r="B25" t="inlineStr">
      <is>
        <r>
          <rPr>
            <b/>
            <sz val="7"/>
            <rFont val="Arial"/>
            <family val="2"/>
          </rPr>
          <t>С-8</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72" sId="25" odxf="1" dxf="1" numFmtId="4">
    <nc r="C25">
      <v>1200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73" sId="25" odxf="1" dxf="1" numFmtId="4">
    <nc r="D25">
      <v>1150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74" sId="25" odxf="1" dxf="1">
    <nc r="E25"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75" sId="25" odxf="1" dxf="1" numFmtId="4">
    <nc r="F25">
      <v>275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6" sId="25" odxf="1" dxf="1" numFmtId="4">
    <nc r="G25">
      <v>329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7" sId="25" odxf="1" dxf="1" numFmtId="4">
    <nc r="H25">
      <v>365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8" sId="25" odxf="1" dxf="1" numFmtId="4">
    <nc r="I25">
      <v>390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9" sId="25" odxf="1" dxf="1" numFmtId="4">
    <nc r="J25">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0" sId="25" odxf="1" dxf="1" numFmtId="4">
    <nc r="K25">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1" sId="25" odxf="1" dxf="1" numFmtId="4">
    <nc r="L25">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2" sId="25" odxf="1" dxf="1" numFmtId="4">
    <nc r="M25">
      <v>400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3" sId="25" odxf="1" dxf="1">
    <nc r="N25"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84" sId="25" odxf="1" dxf="1" numFmtId="4">
    <nc r="O25">
      <v>395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85" sId="25" odxf="1" dxf="1" numFmtId="4">
    <nc r="P25">
      <v>510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86" sId="25" odxf="1" dxf="1" numFmtId="4">
    <nc r="Q25">
      <v>565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7" sId="25" odxf="1" dxf="1" numFmtId="4">
    <nc r="R25">
      <v>580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8" sId="25" odxf="1" dxf="1" numFmtId="4">
    <nc r="S25">
      <v>745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25" start="0" length="0">
    <dxf>
      <alignment horizontal="left" vertical="top" wrapText="1" readingOrder="0"/>
      <border outline="0">
        <left style="thin">
          <color rgb="FF000000"/>
        </left>
        <right style="thin">
          <color rgb="FF000000"/>
        </right>
        <top style="thin">
          <color rgb="FF000000"/>
        </top>
        <bottom style="thin">
          <color rgb="FF000000"/>
        </bottom>
      </border>
    </dxf>
  </rfmt>
  <rcc rId="6689" sId="25" odxf="1" dxf="1" numFmtId="4">
    <nc r="U25">
      <v>252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0" sId="25" odxf="1" dxf="1" numFmtId="4">
    <nc r="V25">
      <v>275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5"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5" start="0" length="0">
    <dxf>
      <font>
        <b/>
        <sz val="7"/>
        <color auto="1"/>
        <name val="Arial"/>
        <scheme val="none"/>
      </font>
      <alignment horizontal="left" vertical="center" wrapText="1" readingOrder="0"/>
      <border outline="0">
        <left style="thin">
          <color rgb="FF000000"/>
        </left>
      </border>
    </dxf>
  </rfmt>
  <rfmt sheetId="25" sqref="Y25" start="0" length="0">
    <dxf>
      <font>
        <b/>
        <sz val="7"/>
        <color auto="1"/>
        <name val="Arial"/>
        <scheme val="none"/>
      </font>
      <alignment horizontal="left" vertical="center" wrapText="1" readingOrder="0"/>
      <border outline="0">
        <right style="thin">
          <color rgb="FF000000"/>
        </right>
      </border>
    </dxf>
  </rfmt>
  <rcc rId="6691" sId="25" odxf="1" dxf="1" numFmtId="4">
    <nc r="A26">
      <v>17</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2" sId="25" odxf="1" dxf="1">
    <nc r="B26" t="inlineStr">
      <is>
        <r>
          <rPr>
            <b/>
            <sz val="7"/>
            <rFont val="Arial"/>
            <family val="2"/>
          </rPr>
          <t>Европрофиль</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93" sId="25" odxf="1" dxf="1" numFmtId="4">
    <nc r="C26">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94" sId="25" odxf="1" dxf="1" numFmtId="4">
    <nc r="D26">
      <v>1136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95" sId="25" odxf="1" dxf="1">
    <nc r="E26"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96" sId="25" odxf="1" dxf="1" numFmtId="4">
    <nc r="F26">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7" sId="25" odxf="1" dxf="1" numFmtId="4">
    <nc r="G26">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8" sId="25" odxf="1" dxf="1" numFmtId="4">
    <nc r="H26">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9" sId="25" odxf="1" dxf="1" numFmtId="4">
    <nc r="I26">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0" sId="25" odxf="1" dxf="1" numFmtId="4">
    <nc r="J26">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1" sId="25" odxf="1" dxf="1" numFmtId="4">
    <nc r="K26">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2" sId="25" odxf="1" dxf="1" numFmtId="4">
    <nc r="L26">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3" sId="25" odxf="1" dxf="1" numFmtId="4">
    <nc r="M26">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4" sId="25" odxf="1" dxf="1">
    <nc r="N26"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05" sId="25" odxf="1" dxf="1" numFmtId="4">
    <nc r="O26">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06" sId="25" odxf="1" dxf="1" numFmtId="4">
    <nc r="P26">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07" sId="25" odxf="1" dxf="1" numFmtId="4">
    <nc r="Q26">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8" sId="25" odxf="1" dxf="1" numFmtId="4">
    <nc r="R26">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9" sId="25" odxf="1" dxf="1" numFmtId="4">
    <nc r="S26">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0" sId="25" odxf="1" dxf="1">
    <nc r="T26" t="inlineStr">
      <is>
        <r>
          <rPr>
            <b/>
            <sz val="7"/>
            <color rgb="FFCC0000"/>
            <rFont val="Arial"/>
            <family val="2"/>
          </rPr>
          <t>з</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11" sId="25" odxf="1" dxf="1" numFmtId="4">
    <nc r="U26">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2" sId="25" odxf="1" dxf="1" numFmtId="4">
    <nc r="V26">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6"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6" start="0" length="0">
    <dxf>
      <font>
        <b/>
        <sz val="7"/>
        <color auto="1"/>
        <name val="Arial"/>
        <scheme val="none"/>
      </font>
      <alignment horizontal="left" vertical="center" wrapText="1" readingOrder="0"/>
      <border outline="0">
        <left style="thin">
          <color rgb="FF000000"/>
        </left>
      </border>
    </dxf>
  </rfmt>
  <rfmt sheetId="25" sqref="Y26" start="0" length="0">
    <dxf>
      <font>
        <b/>
        <sz val="7"/>
        <color auto="1"/>
        <name val="Arial"/>
        <scheme val="none"/>
      </font>
      <alignment horizontal="left" vertical="center" wrapText="1" readingOrder="0"/>
      <border outline="0">
        <right style="thin">
          <color rgb="FF000000"/>
        </right>
      </border>
    </dxf>
  </rfmt>
  <rcc rId="6713" sId="25" odxf="1" dxf="1" numFmtId="4">
    <nc r="A27">
      <v>18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4" sId="25" odxf="1" dxf="1">
    <nc r="B27" t="inlineStr">
      <is>
        <r>
          <rPr>
            <b/>
            <sz val="7"/>
            <rFont val="Arial"/>
            <family val="2"/>
          </rPr>
          <t>Европрофиль с фигур. срезом</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15" sId="25" odxf="1" dxf="1" numFmtId="4">
    <nc r="C27">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16" sId="25" odxf="1" dxf="1" numFmtId="4">
    <nc r="D27">
      <v>1136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17" sId="25" odxf="1" dxf="1">
    <nc r="E27"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18" sId="25" odxf="1" dxf="1" numFmtId="4">
    <nc r="F27">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9" sId="25" odxf="1" dxf="1" numFmtId="4">
    <nc r="G27">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0" sId="25" odxf="1" dxf="1" numFmtId="4">
    <nc r="H27">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1" sId="25" odxf="1" dxf="1" numFmtId="4">
    <nc r="I27">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2" sId="25" odxf="1" dxf="1" numFmtId="4">
    <nc r="J27">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3" sId="25" odxf="1" dxf="1" numFmtId="4">
    <nc r="K27">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4" sId="25" odxf="1" dxf="1" numFmtId="4">
    <nc r="L27">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5" sId="25" odxf="1" dxf="1" numFmtId="4">
    <nc r="M27">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N27" start="0" length="0">
    <dxf>
      <alignment horizontal="left" vertical="top" wrapText="1" readingOrder="0"/>
      <border outline="0">
        <left style="thin">
          <color rgb="FF000000"/>
        </left>
        <right style="thin">
          <color rgb="FF000000"/>
        </right>
        <top style="thin">
          <color rgb="FF000000"/>
        </top>
        <bottom style="thin">
          <color rgb="FF000000"/>
        </bottom>
      </border>
    </dxf>
  </rfmt>
  <rcc rId="6726" sId="25" odxf="1" dxf="1" numFmtId="4">
    <nc r="O27">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27" sId="25" odxf="1" dxf="1" numFmtId="4">
    <nc r="P27">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28" sId="25" odxf="1" dxf="1" numFmtId="4">
    <nc r="Q27">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9" sId="25" odxf="1" dxf="1" numFmtId="4">
    <nc r="R27">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0" sId="25" odxf="1" dxf="1" numFmtId="4">
    <nc r="S27">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1" sId="25" odxf="1" dxf="1">
    <nc r="T27" t="inlineStr">
      <is>
        <r>
          <rPr>
            <b/>
            <sz val="7"/>
            <color rgb="FFCC0000"/>
            <rFont val="Arial"/>
            <family val="2"/>
          </rPr>
          <t>а</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32" sId="25" odxf="1" dxf="1" numFmtId="4">
    <nc r="U27">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3" sId="25" odxf="1" dxf="1" numFmtId="4">
    <nc r="V27">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7"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7" start="0" length="0">
    <dxf>
      <font>
        <b/>
        <sz val="7"/>
        <color auto="1"/>
        <name val="Arial"/>
        <scheme val="none"/>
      </font>
      <alignment horizontal="left" vertical="center" wrapText="1" readingOrder="0"/>
      <border outline="0">
        <left style="thin">
          <color rgb="FF000000"/>
        </left>
      </border>
    </dxf>
  </rfmt>
  <rfmt sheetId="25" sqref="Y27" start="0" length="0">
    <dxf>
      <font>
        <b/>
        <sz val="7"/>
        <color auto="1"/>
        <name val="Arial"/>
        <scheme val="none"/>
      </font>
      <alignment horizontal="left" vertical="center" wrapText="1" readingOrder="0"/>
      <border outline="0">
        <right style="thin">
          <color rgb="FF000000"/>
        </right>
      </border>
    </dxf>
  </rfmt>
  <rcc rId="6734" sId="25" odxf="1" dxf="1" numFmtId="4">
    <nc r="A28">
      <v>19</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5" sId="25" odxf="1" dxf="1">
    <nc r="B28" t="inlineStr">
      <is>
        <r>
          <rPr>
            <b/>
            <sz val="7"/>
            <rFont val="Arial"/>
            <family val="2"/>
          </rPr>
          <t>Европрофиль с прям. срезом</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36" sId="25" odxf="1" dxf="1" numFmtId="4">
    <nc r="C28">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37" sId="25" odxf="1" dxf="1" numFmtId="4">
    <nc r="D28">
      <v>1136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38" sId="25" odxf="1" dxf="1">
    <nc r="E28"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39" sId="25" odxf="1" dxf="1" numFmtId="4">
    <nc r="F28">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0" sId="25" odxf="1" dxf="1" numFmtId="4">
    <nc r="G28">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1" sId="25" odxf="1" dxf="1" numFmtId="4">
    <nc r="H28">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2" sId="25" odxf="1" dxf="1" numFmtId="4">
    <nc r="I28">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3" sId="25" odxf="1" dxf="1" numFmtId="4">
    <nc r="J28">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4" sId="25" odxf="1" dxf="1" numFmtId="4">
    <nc r="K28">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5" sId="25" odxf="1" dxf="1" numFmtId="4">
    <nc r="L28">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6" sId="25" odxf="1" dxf="1" numFmtId="4">
    <nc r="M28">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N28" start="0" length="0">
    <dxf>
      <alignment horizontal="left" vertical="top" wrapText="1" readingOrder="0"/>
      <border outline="0">
        <left style="thin">
          <color rgb="FF000000"/>
        </left>
        <right style="thin">
          <color rgb="FF000000"/>
        </right>
        <top style="thin">
          <color rgb="FF000000"/>
        </top>
        <bottom style="thin">
          <color rgb="FF000000"/>
        </bottom>
      </border>
    </dxf>
  </rfmt>
  <rcc rId="6747" sId="25" odxf="1" dxf="1" numFmtId="4">
    <nc r="O28">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48" sId="25" odxf="1" dxf="1" numFmtId="4">
    <nc r="P28">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49" sId="25" odxf="1" dxf="1" numFmtId="4">
    <nc r="Q28">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0" sId="25" odxf="1" dxf="1" numFmtId="4">
    <nc r="R28">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1" sId="25" odxf="1" dxf="1" numFmtId="4">
    <nc r="S28">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2" sId="25" odxf="1" dxf="1">
    <nc r="T28" t="inlineStr">
      <is>
        <r>
          <rPr>
            <b/>
            <sz val="7"/>
            <color rgb="FFCC0000"/>
            <rFont val="Arial"/>
            <family val="2"/>
          </rPr>
          <t>п</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53" sId="25" odxf="1" dxf="1" numFmtId="4">
    <nc r="U28">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4" sId="25" odxf="1" dxf="1" numFmtId="4">
    <nc r="V28">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8"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8" start="0" length="0">
    <dxf>
      <font>
        <b/>
        <sz val="7"/>
        <color auto="1"/>
        <name val="Arial"/>
        <scheme val="none"/>
      </font>
      <alignment horizontal="left" vertical="center" wrapText="1" readingOrder="0"/>
      <border outline="0">
        <left style="thin">
          <color rgb="FF000000"/>
        </left>
      </border>
    </dxf>
  </rfmt>
  <rfmt sheetId="25" sqref="Y28" start="0" length="0">
    <dxf>
      <font>
        <b/>
        <sz val="7"/>
        <color auto="1"/>
        <name val="Arial"/>
        <scheme val="none"/>
      </font>
      <alignment horizontal="left" vertical="center" wrapText="1" readingOrder="0"/>
      <border outline="0">
        <right style="thin">
          <color rgb="FF000000"/>
        </right>
      </border>
    </dxf>
  </rfmt>
  <rcc rId="6755" sId="25" odxf="1" dxf="1" numFmtId="4">
    <nc r="A29">
      <v>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6" sId="25" odxf="1" dxf="1">
    <nc r="B29" t="inlineStr">
      <is>
        <r>
          <rPr>
            <b/>
            <sz val="7"/>
            <rFont val="Arial"/>
            <family val="2"/>
          </rPr>
          <t>МП-10 (А,В)</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57" sId="25" odxf="1" dxf="1" numFmtId="4">
    <nc r="C29">
      <v>1156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58" sId="25" odxf="1" dxf="1" numFmtId="4">
    <nc r="D29">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59" sId="25" odxf="1" dxf="1">
    <nc r="E29"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60" sId="25" odxf="1" dxf="1" numFmtId="4">
    <nc r="F29">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1" sId="25" odxf="1" dxf="1" numFmtId="4">
    <nc r="G29">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2" sId="25" odxf="1" dxf="1" numFmtId="4">
    <nc r="H29">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3" sId="25" odxf="1" dxf="1" numFmtId="4">
    <nc r="I29">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4" sId="25" odxf="1" dxf="1" numFmtId="4">
    <nc r="J29">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5" sId="25" odxf="1" dxf="1" numFmtId="4">
    <nc r="K29">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6" sId="25" odxf="1" dxf="1" numFmtId="4">
    <nc r="L29">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7" sId="25" odxf="1" dxf="1" numFmtId="4">
    <nc r="M29">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N29" start="0" length="0">
    <dxf>
      <alignment horizontal="left" vertical="top" wrapText="1" readingOrder="0"/>
      <border outline="0">
        <left style="thin">
          <color rgb="FF000000"/>
        </left>
        <right style="thin">
          <color rgb="FF000000"/>
        </right>
        <top style="thin">
          <color rgb="FF000000"/>
        </top>
        <bottom style="thin">
          <color rgb="FF000000"/>
        </bottom>
      </border>
    </dxf>
  </rfmt>
  <rcc rId="6768" sId="25" odxf="1" dxf="1" numFmtId="4">
    <nc r="O29">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69" sId="25" odxf="1" dxf="1" numFmtId="4">
    <nc r="P29">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70" sId="25" odxf="1" dxf="1" numFmtId="4">
    <nc r="Q29">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1" sId="25" odxf="1" dxf="1" numFmtId="4">
    <nc r="R29">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2" sId="25" odxf="1" dxf="1" numFmtId="4">
    <nc r="S29">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3" sId="25" odxf="1" dxf="1">
    <nc r="T29" t="inlineStr">
      <is>
        <r>
          <rPr>
            <b/>
            <sz val="7"/>
            <color rgb="FFCC0000"/>
            <rFont val="Arial"/>
            <family val="2"/>
          </rPr>
          <t>р</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74" sId="25" odxf="1" dxf="1" numFmtId="4">
    <nc r="U29">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5" sId="25" odxf="1" dxf="1" numFmtId="4">
    <nc r="V29">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6" sId="25" odxf="1" dxf="1" numFmtId="4">
    <nc r="W29">
      <v>385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29" start="0" length="0">
    <dxf>
      <font>
        <b/>
        <sz val="7"/>
        <color auto="1"/>
        <name val="Arial"/>
        <scheme val="none"/>
      </font>
      <alignment horizontal="left" vertical="center" wrapText="1" readingOrder="0"/>
      <border outline="0">
        <left style="thin">
          <color rgb="FF000000"/>
        </left>
      </border>
    </dxf>
  </rfmt>
  <rfmt sheetId="25" sqref="Y29" start="0" length="0">
    <dxf>
      <font>
        <b/>
        <sz val="7"/>
        <color auto="1"/>
        <name val="Arial"/>
        <scheme val="none"/>
      </font>
      <alignment horizontal="left" vertical="center" wrapText="1" readingOrder="0"/>
      <border outline="0">
        <right style="thin">
          <color rgb="FF000000"/>
        </right>
      </border>
    </dxf>
  </rfmt>
  <rcc rId="6777" sId="25" odxf="1" dxf="1" numFmtId="4">
    <nc r="A30">
      <v>21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8" sId="25" odxf="1" dxf="1">
    <nc r="B30" t="inlineStr">
      <is>
        <r>
          <rPr>
            <b/>
            <sz val="7"/>
            <rFont val="Arial"/>
            <family val="2"/>
          </rPr>
          <t>С-15 (A,B)</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79" sId="25" odxf="1" dxf="1" numFmtId="4">
    <nc r="C30">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80" sId="25" odxf="1" dxf="1" numFmtId="4">
    <nc r="D30">
      <v>1150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81" sId="25" odxf="1" dxf="1">
    <nc r="E30"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82" sId="25" odxf="1" dxf="1" numFmtId="4">
    <nc r="F30">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3" sId="25" odxf="1" dxf="1" numFmtId="4">
    <nc r="G30">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4" sId="25" odxf="1" dxf="1" numFmtId="4">
    <nc r="H30">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5" sId="25" odxf="1" dxf="1" numFmtId="4">
    <nc r="I30">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6" sId="25" odxf="1" dxf="1" numFmtId="4">
    <nc r="J30">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7" sId="25" odxf="1" dxf="1" numFmtId="4">
    <nc r="K30">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8" sId="25" odxf="1" dxf="1" numFmtId="4">
    <nc r="L30">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9" sId="25" odxf="1" dxf="1" numFmtId="4">
    <nc r="M30">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0" sId="25" odxf="1" dxf="1" numFmtId="4">
    <nc r="N30">
      <v>515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1" sId="25" odxf="1" dxf="1" numFmtId="4">
    <nc r="O30">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92" sId="25" odxf="1" dxf="1" numFmtId="4">
    <nc r="P30">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93" sId="25" odxf="1" dxf="1" numFmtId="4">
    <nc r="Q30">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4" sId="25" odxf="1" dxf="1" numFmtId="4">
    <nc r="R30">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5" sId="25" odxf="1" dxf="1" numFmtId="4">
    <nc r="S30">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6" sId="25" odxf="1" dxf="1">
    <nc r="T30" t="inlineStr">
      <is>
        <r>
          <rPr>
            <b/>
            <sz val="7"/>
            <color rgb="FFCC0000"/>
            <rFont val="Arial"/>
            <family val="2"/>
          </rPr>
          <t>о</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97" sId="25" odxf="1" dxf="1" numFmtId="4">
    <nc r="U30">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8" sId="25" odxf="1" dxf="1" numFmtId="4">
    <nc r="V30">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9" sId="25" odxf="1" dxf="1" numFmtId="4">
    <nc r="W30">
      <v>385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0" start="0" length="0">
    <dxf>
      <font>
        <b/>
        <sz val="7"/>
        <color auto="1"/>
        <name val="Arial"/>
        <scheme val="none"/>
      </font>
      <alignment horizontal="left" vertical="center" wrapText="1" readingOrder="0"/>
      <border outline="0">
        <left style="thin">
          <color rgb="FF000000"/>
        </left>
      </border>
    </dxf>
  </rfmt>
  <rfmt sheetId="25" sqref="Y30" start="0" length="0">
    <dxf>
      <font>
        <b/>
        <sz val="7"/>
        <color auto="1"/>
        <name val="Arial"/>
        <scheme val="none"/>
      </font>
      <alignment horizontal="left" vertical="center" wrapText="1" readingOrder="0"/>
      <border outline="0">
        <right style="thin">
          <color rgb="FF000000"/>
        </right>
      </border>
    </dxf>
  </rfmt>
  <rcc rId="6800" sId="25" odxf="1" dxf="1" numFmtId="4">
    <nc r="A31">
      <v>22</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1" sId="25" odxf="1" dxf="1">
    <nc r="B31" t="inlineStr">
      <is>
        <r>
          <rPr>
            <b/>
            <sz val="7"/>
            <rFont val="Arial"/>
            <family val="2"/>
          </rPr>
          <t>МП-20 (А,В,R)</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02" sId="25" odxf="1" dxf="1" numFmtId="4">
    <nc r="C31">
      <v>1150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03" sId="25" odxf="1" dxf="1" numFmtId="4">
    <nc r="D31">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04" sId="25" odxf="1" dxf="1">
    <nc r="E31"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05" sId="25" odxf="1" dxf="1" numFmtId="4">
    <nc r="F31">
      <v>290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6" sId="25" odxf="1" dxf="1" numFmtId="4">
    <nc r="G31">
      <v>345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7" sId="25" odxf="1" dxf="1" numFmtId="4">
    <nc r="H31">
      <v>380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8" sId="25" odxf="1" dxf="1" numFmtId="4">
    <nc r="I31">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9" sId="25" odxf="1" dxf="1" numFmtId="4">
    <nc r="J31">
      <v>465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0" sId="25" odxf="1" dxf="1" numFmtId="4">
    <nc r="K31">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1" sId="25" odxf="1" dxf="1" numFmtId="4">
    <nc r="L31">
      <v>485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2" sId="25" odxf="1" dxf="1" numFmtId="4">
    <nc r="M31">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3" sId="25" odxf="1" dxf="1" numFmtId="4">
    <nc r="N31">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4" sId="25" odxf="1" dxf="1" numFmtId="4">
    <nc r="O31">
      <v>410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15" sId="25" odxf="1" dxf="1" numFmtId="4">
    <nc r="P31">
      <v>525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16" sId="25" odxf="1" dxf="1" numFmtId="4">
    <nc r="Q31">
      <v>580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7" sId="25" odxf="1" dxf="1" numFmtId="4">
    <nc r="R31">
      <v>595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8" sId="25" odxf="1" dxf="1" numFmtId="4">
    <nc r="S31">
      <v>760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9" sId="25" odxf="1" dxf="1">
    <nc r="T31" t="inlineStr">
      <is>
        <r>
          <rPr>
            <b/>
            <sz val="7"/>
            <color rgb="FFCC0000"/>
            <rFont val="Arial"/>
            <family val="2"/>
          </rPr>
          <t>с</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20" sId="25" odxf="1" dxf="1" numFmtId="4">
    <nc r="U31">
      <v>263</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21" sId="25" odxf="1" dxf="1" numFmtId="4">
    <nc r="V31">
      <v>287</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22" sId="25" odxf="1" dxf="1" numFmtId="4">
    <nc r="W31">
      <v>395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1" start="0" length="0">
    <dxf>
      <font>
        <b/>
        <sz val="7"/>
        <color auto="1"/>
        <name val="Arial"/>
        <scheme val="none"/>
      </font>
      <alignment horizontal="left" vertical="center" wrapText="1" readingOrder="0"/>
      <border outline="0">
        <left style="thin">
          <color rgb="FF000000"/>
        </left>
      </border>
    </dxf>
  </rfmt>
  <rfmt sheetId="25" sqref="Y31" start="0" length="0">
    <dxf>
      <font>
        <b/>
        <sz val="7"/>
        <color auto="1"/>
        <name val="Arial"/>
        <scheme val="none"/>
      </font>
      <alignment horizontal="left" vertical="center" wrapText="1" readingOrder="0"/>
      <border outline="0">
        <right style="thin">
          <color rgb="FF000000"/>
        </right>
      </border>
    </dxf>
  </rfmt>
  <rcc rId="6823" sId="25" odxf="1" dxf="1" numFmtId="4">
    <nc r="A32">
      <v>23</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24" sId="25" odxf="1" dxf="1">
    <nc r="B32" t="inlineStr">
      <is>
        <r>
          <rPr>
            <b/>
            <sz val="7"/>
            <rFont val="Arial"/>
            <family val="2"/>
          </rPr>
          <t>С-21</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25" sId="25" odxf="1" dxf="1" numFmtId="4">
    <nc r="C32">
      <v>1051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26" sId="25" odxf="1" dxf="1" numFmtId="4">
    <nc r="D32">
      <v>1000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27" sId="25" odxf="1" dxf="1">
    <nc r="E32"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28" sId="25" odxf="1" dxf="1">
    <nc r="F3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29" sId="25" odxf="1" dxf="1" numFmtId="4">
    <nc r="G32">
      <v>375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0" sId="25" odxf="1" dxf="1" numFmtId="4">
    <nc r="H32">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1" sId="25" odxf="1" dxf="1" numFmtId="4">
    <nc r="I32">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2" sId="25" odxf="1" dxf="1" numFmtId="4">
    <nc r="J32">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3" sId="25" odxf="1" dxf="1" numFmtId="4">
    <nc r="K32">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4" sId="25" odxf="1" dxf="1" numFmtId="4">
    <nc r="L32">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5" sId="25" odxf="1" dxf="1" numFmtId="4">
    <nc r="M32">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6" sId="25" odxf="1" dxf="1" numFmtId="4">
    <nc r="N32">
      <v>565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7" sId="25" odxf="1" dxf="1" numFmtId="4">
    <nc r="O32">
      <v>450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38" sId="25" odxf="1" dxf="1" numFmtId="4">
    <nc r="P32">
      <v>565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39" sId="25" odxf="1" dxf="1" numFmtId="4">
    <nc r="Q32">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0" sId="25" odxf="1" dxf="1" numFmtId="4">
    <nc r="R32">
      <v>635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1" sId="25" odxf="1" dxf="1" numFmtId="4">
    <nc r="S32">
      <v>800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2" sId="25" odxf="1" dxf="1">
    <nc r="T32" t="inlineStr">
      <is>
        <r>
          <rPr>
            <b/>
            <sz val="7"/>
            <color rgb="FFCC0000"/>
            <rFont val="Arial"/>
            <family val="2"/>
          </rPr>
          <t>у</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43" sId="25" odxf="1" dxf="1" numFmtId="4">
    <nc r="U32">
      <v>289</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4" sId="25" odxf="1" dxf="1" numFmtId="4">
    <nc r="V32">
      <v>315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5" sId="25" odxf="1" dxf="1" numFmtId="4">
    <nc r="W32">
      <v>435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2" start="0" length="0">
    <dxf>
      <font>
        <b/>
        <sz val="7"/>
        <color auto="1"/>
        <name val="Arial"/>
        <scheme val="none"/>
      </font>
      <alignment horizontal="left" vertical="center" wrapText="1" readingOrder="0"/>
      <border outline="0">
        <left style="thin">
          <color rgb="FF000000"/>
        </left>
      </border>
    </dxf>
  </rfmt>
  <rfmt sheetId="25" sqref="Y32" start="0" length="0">
    <dxf>
      <font>
        <b/>
        <sz val="7"/>
        <color auto="1"/>
        <name val="Arial"/>
        <scheme val="none"/>
      </font>
      <alignment horizontal="left" vertical="center" wrapText="1" readingOrder="0"/>
      <border outline="0">
        <right style="thin">
          <color rgb="FF000000"/>
        </right>
      </border>
    </dxf>
  </rfmt>
  <rcc rId="6846" sId="25" odxf="1" dxf="1" numFmtId="4">
    <nc r="A33">
      <v>24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7" sId="25" odxf="1" dxf="1">
    <nc r="B33" t="inlineStr">
      <is>
        <r>
          <rPr>
            <b/>
            <sz val="7"/>
            <rFont val="Arial"/>
            <family val="2"/>
          </rPr>
          <t>НС-35 (НС-35R)</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48" sId="25" odxf="1" dxf="1" numFmtId="4">
    <nc r="C33">
      <v>1060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49" sId="25" odxf="1" dxf="1" numFmtId="4">
    <nc r="D33">
      <v>1000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50" sId="25" odxf="1" dxf="1">
    <nc r="E33"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51" sId="25" odxf="1" dxf="1">
    <nc r="F33"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52" sId="25" odxf="1" dxf="1" numFmtId="4">
    <nc r="G33">
      <v>375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3" sId="25" odxf="1" dxf="1" numFmtId="4">
    <nc r="H33">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4" sId="25" odxf="1" dxf="1" numFmtId="4">
    <nc r="I33">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5" sId="25" odxf="1" dxf="1" numFmtId="4">
    <nc r="J33">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6" sId="25" odxf="1" dxf="1" numFmtId="4">
    <nc r="K33">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7" sId="25" odxf="1" dxf="1" numFmtId="4">
    <nc r="L33">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8" sId="25" odxf="1" dxf="1" numFmtId="4">
    <nc r="M33">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9" sId="25" odxf="1" dxf="1" numFmtId="4">
    <nc r="N33">
      <v>565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0" sId="25" odxf="1" dxf="1" numFmtId="4">
    <nc r="O33">
      <v>450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61" sId="25" odxf="1" dxf="1" numFmtId="4">
    <nc r="P33">
      <v>565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62" sId="25" odxf="1" dxf="1" numFmtId="4">
    <nc r="Q33">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3" sId="25" odxf="1" dxf="1" numFmtId="4">
    <nc r="R33">
      <v>635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4" sId="25" odxf="1" dxf="1" numFmtId="4">
    <nc r="S33">
      <v>800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5" sId="25" odxf="1" dxf="1">
    <nc r="T33" t="inlineStr">
      <is>
        <r>
          <rPr>
            <sz val="7"/>
            <color rgb="FFCC0000"/>
            <rFont val="Arial"/>
            <family val="2"/>
          </rPr>
          <t>!</t>
        </r>
      </is>
    </nc>
    <odxf>
      <font>
        <sz val="11"/>
        <color theme="1"/>
        <name val="Calibri"/>
        <scheme val="minor"/>
      </font>
      <alignment horizontal="general" vertical="bottom" wrapText="0" indent="0" relativeIndent="0" readingOrder="0"/>
      <border outline="0">
        <left/>
        <right/>
        <top/>
        <bottom/>
      </border>
    </odxf>
    <ndxf>
      <font>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66" sId="25" odxf="1" dxf="1" numFmtId="4">
    <nc r="U33">
      <v>289</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7" sId="25" odxf="1" dxf="1" numFmtId="4">
    <nc r="V33">
      <v>315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8" sId="25" odxf="1" dxf="1" numFmtId="4">
    <nc r="W33">
      <v>435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3" start="0" length="0">
    <dxf>
      <font>
        <b/>
        <sz val="7"/>
        <color auto="1"/>
        <name val="Arial"/>
        <scheme val="none"/>
      </font>
      <alignment horizontal="left" vertical="center" wrapText="1" readingOrder="0"/>
      <border outline="0">
        <left style="thin">
          <color rgb="FF000000"/>
        </left>
      </border>
    </dxf>
  </rfmt>
  <rfmt sheetId="25" sqref="Y33" start="0" length="0">
    <dxf>
      <font>
        <b/>
        <sz val="7"/>
        <color auto="1"/>
        <name val="Arial"/>
        <scheme val="none"/>
      </font>
      <alignment horizontal="left" vertical="center" wrapText="1" readingOrder="0"/>
      <border outline="0">
        <right style="thin">
          <color rgb="FF000000"/>
        </right>
      </border>
    </dxf>
  </rfmt>
  <rcc rId="6869" sId="25" odxf="1" dxf="1" numFmtId="4">
    <nc r="A34">
      <v>25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70" sId="25" odxf="1" dxf="1">
    <nc r="B34" t="inlineStr">
      <is>
        <r>
          <rPr>
            <b/>
            <sz val="7"/>
            <rFont val="Arial"/>
            <family val="2"/>
          </rPr>
          <t>Н-75 (Н-75R)</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71" sId="25" odxf="1" dxf="1" numFmtId="4">
    <nc r="C34">
      <v>800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72" sId="25" odxf="1" dxf="1" numFmtId="4">
    <nc r="D34">
      <v>750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73" sId="25" odxf="1" dxf="1">
    <nc r="E34"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74" sId="25" odxf="1" dxf="1">
    <nc r="F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75" sId="25" odxf="1" dxf="1">
    <nc r="G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H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76" sId="25" odxf="1" dxf="1">
    <nc r="I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J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77" sId="25" odxf="1" dxf="1">
    <nc r="K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L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78" sId="25" odxf="1" dxf="1">
    <nc r="M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79" sId="25" odxf="1" dxf="1" numFmtId="4">
    <nc r="N34">
      <v>755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O34" start="0" length="0">
    <dxf>
      <alignment horizontal="left" vertical="center" wrapText="1" readingOrder="0"/>
      <border outline="0">
        <left style="thin">
          <color rgb="FF000000"/>
        </left>
        <right style="thin">
          <color rgb="FF000000"/>
        </right>
        <top style="thin">
          <color rgb="FF000000"/>
        </top>
        <bottom style="thin">
          <color rgb="FF000000"/>
        </bottom>
      </border>
    </dxf>
  </rfmt>
  <rfmt sheetId="25" sqref="P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80" sId="25" odxf="1" dxf="1">
    <nc r="Q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1" sId="25" odxf="1" dxf="1">
    <nc r="R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2" sId="25" odxf="1" dxf="1">
    <nc r="S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3" sId="25" odxf="1" dxf="1">
    <nc r="T34" t="inlineStr">
      <is>
        <r>
          <rPr>
            <sz val="7"/>
            <rFont val="Arial"/>
            <family val="2"/>
          </rPr>
          <t>-</t>
        </r>
      </is>
    </nc>
    <odxf>
      <font>
        <sz val="11"/>
        <color theme="1"/>
        <name val="Calibri"/>
        <scheme val="minor"/>
      </font>
      <alignment horizontal="general" vertical="bottom" wrapText="0" indent="0" relativeIndent="0" readingOrder="0"/>
      <border outline="0">
        <left/>
        <right/>
        <top/>
        <bottom/>
      </border>
    </odxf>
    <ndxf>
      <font>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84" sId="25" odxf="1" dxf="1">
    <nc r="U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5" sId="25" odxf="1" dxf="1">
    <nc r="V34" t="inlineStr">
      <is>
        <r>
          <rPr>
            <sz val="7"/>
            <color rgb="FFCC0000"/>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6" sId="25" odxf="1" dxf="1" numFmtId="4">
    <nc r="W34">
      <v>575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4" start="0" length="0">
    <dxf>
      <font>
        <b/>
        <sz val="7"/>
        <color auto="1"/>
        <name val="Arial"/>
        <scheme val="none"/>
      </font>
      <alignment horizontal="left" vertical="center" wrapText="1" readingOrder="0"/>
      <border outline="0">
        <left style="thin">
          <color rgb="FF000000"/>
        </left>
        <bottom style="thin">
          <color rgb="FF000000"/>
        </bottom>
      </border>
    </dxf>
  </rfmt>
  <rfmt sheetId="25" sqref="Y34" start="0" length="0">
    <dxf>
      <font>
        <b/>
        <sz val="7"/>
        <color auto="1"/>
        <name val="Arial"/>
        <scheme val="none"/>
      </font>
      <alignment horizontal="left" vertical="center" wrapText="1" readingOrder="0"/>
      <border outline="0">
        <right style="thin">
          <color rgb="FF000000"/>
        </right>
        <bottom style="thin">
          <color rgb="FF000000"/>
        </bottom>
      </border>
    </dxf>
  </rfmt>
  <rcc rId="6887" sId="25" odxf="1" dxf="1" numFmtId="4">
    <nc r="A35">
      <v>26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88" sId="25" odxf="1" dxf="1">
    <nc r="B35" t="inlineStr">
      <is>
        <r>
          <rPr>
            <b/>
            <sz val="7"/>
            <rFont val="Arial"/>
            <family val="2"/>
          </rPr>
          <t>Штакетник металлический*</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89" sId="25" odxf="1" dxf="1" numFmtId="4">
    <nc r="C35">
      <v>118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90" sId="25" odxf="1" dxf="1" numFmtId="4">
    <nc r="D35">
      <v>118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91" sId="25" odxf="1" dxf="1">
    <nc r="E35" t="inlineStr">
      <is>
        <r>
          <rPr>
            <sz val="7"/>
            <rFont val="Arial"/>
            <family val="2"/>
          </rPr>
          <t>пм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2" sId="25" odxf="1" dxf="1">
    <nc r="F35" t="inlineStr">
      <is>
        <r>
          <rPr>
            <b/>
            <sz val="7"/>
            <rFont val="Arial"/>
            <family val="2"/>
          </rPr>
          <t>75*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3" sId="25" odxf="1" dxf="1">
    <nc r="G35" t="inlineStr">
      <is>
        <r>
          <rPr>
            <b/>
            <sz val="7"/>
            <rFont val="Arial"/>
            <family val="2"/>
          </rPr>
          <t>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4" sId="25" odxf="1" dxf="1">
    <nc r="H35" t="inlineStr">
      <is>
        <r>
          <rPr>
            <b/>
            <sz val="7"/>
            <rFont val="Arial"/>
            <family val="2"/>
          </rPr>
          <t>95*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5" sId="25" odxf="1" dxf="1">
    <nc r="I35" t="inlineStr">
      <is>
        <r>
          <rPr>
            <b/>
            <sz val="7"/>
            <rFont val="Arial"/>
            <family val="2"/>
          </rPr>
          <t>100*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6" sId="25" odxf="1" dxf="1">
    <nc r="J35" t="inlineStr">
      <is>
        <r>
          <rPr>
            <b/>
            <sz val="7"/>
            <rFont val="Arial"/>
            <family val="2"/>
          </rPr>
          <t>115*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K35"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L35" start="0" length="0">
    <dxf>
      <alignment horizontal="left" vertical="top" wrapText="1" readingOrder="0"/>
      <border outline="0">
        <left style="thin">
          <color rgb="FF000000"/>
        </left>
        <right style="thin">
          <color rgb="FF000000"/>
        </right>
        <top style="thin">
          <color rgb="FF000000"/>
        </top>
        <bottom style="thin">
          <color rgb="FF000000"/>
        </bottom>
      </border>
    </dxf>
  </rfmt>
  <rcc rId="6897" sId="25" odxf="1" dxf="1">
    <nc r="M35" t="inlineStr">
      <is>
        <r>
          <rPr>
            <b/>
            <sz val="7"/>
            <rFont val="Arial"/>
            <family val="2"/>
          </rPr>
          <t>110*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8" sId="25" odxf="1" dxf="1">
    <nc r="N35" t="inlineStr">
      <is>
        <r>
          <rPr>
            <b/>
            <sz val="7"/>
            <rFont val="Arial"/>
            <family val="2"/>
          </rPr>
          <t>-</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9" sId="25" odxf="1" dxf="1">
    <nc r="O35" t="inlineStr">
      <is>
        <r>
          <rPr>
            <b/>
            <sz val="7"/>
            <rFont val="Arial"/>
            <family val="2"/>
          </rPr>
          <t>105*</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900" sId="25" odxf="1" dxf="1">
    <nc r="P35" t="inlineStr">
      <is>
        <r>
          <rPr>
            <b/>
            <sz val="7"/>
            <rFont val="Arial"/>
            <family val="2"/>
          </rPr>
          <t>130*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901" sId="25" odxf="1" dxf="1">
    <nc r="Q35" t="inlineStr">
      <is>
        <r>
          <rPr>
            <b/>
            <sz val="7"/>
            <rFont val="Arial"/>
            <family val="2"/>
          </rPr>
          <t>-</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902" sId="25" odxf="1" dxf="1">
    <nc r="R35" t="inlineStr">
      <is>
        <r>
          <rPr>
            <b/>
            <sz val="7"/>
            <rFont val="Arial"/>
            <family val="2"/>
          </rPr>
          <t>125*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903" sId="25" odxf="1" dxf="1">
    <nc r="S35" t="inlineStr">
      <is>
        <r>
          <rPr>
            <b/>
            <sz val="7"/>
            <rFont val="Arial"/>
            <family val="2"/>
          </rPr>
          <t>190*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904" sId="25" odxf="1" dxf="1">
    <nc r="T35" t="inlineStr">
      <is>
        <r>
          <rPr>
            <b/>
            <sz val="7"/>
            <rFont val="Arial"/>
            <family val="2"/>
          </rPr>
          <t>-</t>
        </r>
      </is>
    </nc>
    <odxf>
      <font>
        <b val="0"/>
        <sz val="11"/>
        <color theme="1"/>
        <name val="Calibri"/>
        <scheme val="minor"/>
      </font>
      <alignment horizontal="general" vertical="bottom" wrapText="0" readingOrder="0"/>
      <border outline="0">
        <left/>
        <top/>
        <bottom/>
      </border>
    </odxf>
    <ndxf>
      <font>
        <b/>
        <sz val="7"/>
        <color auto="1"/>
        <name val="Arial"/>
        <scheme val="none"/>
      </font>
      <alignment horizontal="center" vertical="top" wrapText="1" readingOrder="0"/>
      <border outline="0">
        <left style="thin">
          <color rgb="FF000000"/>
        </left>
        <top style="thin">
          <color rgb="FF000000"/>
        </top>
        <bottom style="thin">
          <color rgb="FF000000"/>
        </bottom>
      </border>
    </ndxf>
  </rcc>
  <rfmt sheetId="25" sqref="U35" start="0" length="0">
    <dxf>
      <font>
        <b/>
        <sz val="7"/>
        <color auto="1"/>
        <name val="Arial"/>
        <scheme val="none"/>
      </font>
      <alignment horizontal="center" vertical="top" wrapText="1" readingOrder="0"/>
      <border outline="0">
        <top style="thin">
          <color rgb="FF000000"/>
        </top>
        <bottom style="thin">
          <color rgb="FF000000"/>
        </bottom>
      </border>
    </dxf>
  </rfmt>
  <rfmt sheetId="25" sqref="V35" start="0" length="0">
    <dxf>
      <font>
        <b/>
        <sz val="7"/>
        <color auto="1"/>
        <name val="Arial"/>
        <scheme val="none"/>
      </font>
      <alignment horizontal="center" vertical="top" wrapText="1" readingOrder="0"/>
      <border outline="0">
        <top style="thin">
          <color rgb="FF000000"/>
        </top>
        <bottom style="thin">
          <color rgb="FF000000"/>
        </bottom>
      </border>
    </dxf>
  </rfmt>
  <rfmt sheetId="25" sqref="W35" start="0" length="0">
    <dxf>
      <font>
        <b/>
        <sz val="7"/>
        <color auto="1"/>
        <name val="Arial"/>
        <scheme val="none"/>
      </font>
      <alignment horizontal="center" vertical="top" wrapText="1" readingOrder="0"/>
      <border outline="0">
        <top style="thin">
          <color rgb="FF000000"/>
        </top>
        <bottom style="thin">
          <color rgb="FF000000"/>
        </bottom>
      </border>
    </dxf>
  </rfmt>
  <rfmt sheetId="25" sqref="X35" start="0" length="0">
    <dxf>
      <font>
        <b/>
        <sz val="7"/>
        <color auto="1"/>
        <name val="Arial"/>
        <scheme val="none"/>
      </font>
      <alignment horizontal="center" vertical="top" wrapText="1" readingOrder="0"/>
      <border outline="0">
        <top style="thin">
          <color rgb="FF000000"/>
        </top>
        <bottom style="thin">
          <color rgb="FF000000"/>
        </bottom>
      </border>
    </dxf>
  </rfmt>
  <rfmt sheetId="25" sqref="Y35" start="0" length="0">
    <dxf>
      <font>
        <b/>
        <sz val="7"/>
        <color auto="1"/>
        <name val="Arial"/>
        <scheme val="none"/>
      </font>
      <alignment horizontal="center" vertical="top" wrapText="1" readingOrder="0"/>
      <border outline="0">
        <right style="thin">
          <color rgb="FF000000"/>
        </right>
        <top style="thin">
          <color rgb="FF000000"/>
        </top>
        <bottom style="thin">
          <color rgb="FF000000"/>
        </bottom>
      </border>
    </dxf>
  </rfmt>
  <rcc rId="6905" sId="25" odxf="1" dxf="1">
    <nc r="A36" t="inlineStr">
      <is>
        <r>
          <rPr>
            <b/>
            <sz val="7"/>
            <color rgb="FFCC0000"/>
            <rFont val="Arial"/>
            <family val="2"/>
          </rPr>
          <t>УСЛУГА ПО НАНЕСЕНИЮ ПЛЕНКИ - 15 РУБ/М2</t>
        </r>
      </is>
    </nc>
    <odxf>
      <font>
        <b val="0"/>
        <sz val="11"/>
        <color theme="1"/>
        <name val="Calibri"/>
        <scheme val="minor"/>
      </font>
      <alignment horizontal="general" vertical="bottom" wrapText="0" readingOrder="0"/>
      <border outline="0">
        <left/>
        <top/>
        <bottom/>
      </border>
    </odxf>
    <ndxf>
      <font>
        <b/>
        <sz val="7"/>
        <color auto="1"/>
        <name val="Arial"/>
        <scheme val="none"/>
      </font>
      <alignment horizontal="center" vertical="top" wrapText="1" readingOrder="0"/>
      <border outline="0">
        <left style="thin">
          <color rgb="FF000000"/>
        </left>
        <top style="thin">
          <color rgb="FF000000"/>
        </top>
        <bottom style="thin">
          <color rgb="FF000000"/>
        </bottom>
      </border>
    </ndxf>
  </rcc>
  <rfmt sheetId="25" sqref="B36" start="0" length="0">
    <dxf>
      <font>
        <b/>
        <sz val="7"/>
        <color auto="1"/>
        <name val="Arial"/>
        <scheme val="none"/>
      </font>
      <alignment horizontal="center" vertical="top" wrapText="1" readingOrder="0"/>
      <border outline="0">
        <top style="thin">
          <color rgb="FF000000"/>
        </top>
        <bottom style="thin">
          <color rgb="FF000000"/>
        </bottom>
      </border>
    </dxf>
  </rfmt>
  <rfmt sheetId="25" sqref="C36" start="0" length="0">
    <dxf>
      <font>
        <b/>
        <sz val="7"/>
        <color auto="1"/>
        <name val="Arial"/>
        <scheme val="none"/>
      </font>
      <alignment horizontal="center" vertical="top" wrapText="1" readingOrder="0"/>
      <border outline="0">
        <top style="thin">
          <color rgb="FF000000"/>
        </top>
        <bottom style="thin">
          <color rgb="FF000000"/>
        </bottom>
      </border>
    </dxf>
  </rfmt>
  <rfmt sheetId="25" sqref="D36" start="0" length="0">
    <dxf>
      <font>
        <b/>
        <sz val="7"/>
        <color auto="1"/>
        <name val="Arial"/>
        <scheme val="none"/>
      </font>
      <alignment horizontal="center" vertical="top" wrapText="1" readingOrder="0"/>
      <border outline="0">
        <top style="thin">
          <color rgb="FF000000"/>
        </top>
        <bottom style="thin">
          <color rgb="FF000000"/>
        </bottom>
      </border>
    </dxf>
  </rfmt>
  <rfmt sheetId="25" sqref="E36" start="0" length="0">
    <dxf>
      <font>
        <b/>
        <sz val="7"/>
        <color auto="1"/>
        <name val="Arial"/>
        <scheme val="none"/>
      </font>
      <alignment horizontal="center" vertical="top" wrapText="1" readingOrder="0"/>
      <border outline="0">
        <top style="thin">
          <color rgb="FF000000"/>
        </top>
        <bottom style="thin">
          <color rgb="FF000000"/>
        </bottom>
      </border>
    </dxf>
  </rfmt>
  <rfmt sheetId="25" sqref="F36" start="0" length="0">
    <dxf>
      <font>
        <b/>
        <sz val="7"/>
        <color auto="1"/>
        <name val="Arial"/>
        <scheme val="none"/>
      </font>
      <alignment horizontal="center" vertical="top" wrapText="1" readingOrder="0"/>
      <border outline="0">
        <top style="thin">
          <color rgb="FF000000"/>
        </top>
        <bottom style="thin">
          <color rgb="FF000000"/>
        </bottom>
      </border>
    </dxf>
  </rfmt>
  <rfmt sheetId="25" sqref="G36" start="0" length="0">
    <dxf>
      <font>
        <b/>
        <sz val="7"/>
        <color auto="1"/>
        <name val="Arial"/>
        <scheme val="none"/>
      </font>
      <alignment horizontal="center" vertical="top" wrapText="1" readingOrder="0"/>
      <border outline="0">
        <top style="thin">
          <color rgb="FF000000"/>
        </top>
        <bottom style="thin">
          <color rgb="FF000000"/>
        </bottom>
      </border>
    </dxf>
  </rfmt>
  <rfmt sheetId="25" sqref="H36" start="0" length="0">
    <dxf>
      <font>
        <b/>
        <sz val="7"/>
        <color auto="1"/>
        <name val="Arial"/>
        <scheme val="none"/>
      </font>
      <alignment horizontal="center" vertical="top" wrapText="1" readingOrder="0"/>
      <border outline="0">
        <top style="thin">
          <color rgb="FF000000"/>
        </top>
        <bottom style="thin">
          <color rgb="FF000000"/>
        </bottom>
      </border>
    </dxf>
  </rfmt>
  <rfmt sheetId="25" sqref="I36" start="0" length="0">
    <dxf>
      <font>
        <b/>
        <sz val="7"/>
        <color auto="1"/>
        <name val="Arial"/>
        <scheme val="none"/>
      </font>
      <alignment horizontal="center" vertical="top" wrapText="1" readingOrder="0"/>
      <border outline="0">
        <top style="thin">
          <color rgb="FF000000"/>
        </top>
        <bottom style="thin">
          <color rgb="FF000000"/>
        </bottom>
      </border>
    </dxf>
  </rfmt>
  <rfmt sheetId="25" sqref="J36" start="0" length="0">
    <dxf>
      <font>
        <b/>
        <sz val="7"/>
        <color auto="1"/>
        <name val="Arial"/>
        <scheme val="none"/>
      </font>
      <alignment horizontal="center" vertical="top" wrapText="1" readingOrder="0"/>
      <border outline="0">
        <top style="thin">
          <color rgb="FF000000"/>
        </top>
        <bottom style="thin">
          <color rgb="FF000000"/>
        </bottom>
      </border>
    </dxf>
  </rfmt>
  <rfmt sheetId="25" sqref="K36" start="0" length="0">
    <dxf>
      <font>
        <b/>
        <sz val="7"/>
        <color auto="1"/>
        <name val="Arial"/>
        <scheme val="none"/>
      </font>
      <alignment horizontal="center" vertical="top" wrapText="1" readingOrder="0"/>
      <border outline="0">
        <top style="thin">
          <color rgb="FF000000"/>
        </top>
        <bottom style="thin">
          <color rgb="FF000000"/>
        </bottom>
      </border>
    </dxf>
  </rfmt>
  <rfmt sheetId="25" sqref="L36" start="0" length="0">
    <dxf>
      <font>
        <b/>
        <sz val="7"/>
        <color auto="1"/>
        <name val="Arial"/>
        <scheme val="none"/>
      </font>
      <alignment horizontal="center" vertical="top" wrapText="1" readingOrder="0"/>
      <border outline="0">
        <top style="thin">
          <color rgb="FF000000"/>
        </top>
        <bottom style="thin">
          <color rgb="FF000000"/>
        </bottom>
      </border>
    </dxf>
  </rfmt>
  <rfmt sheetId="25" sqref="M36" start="0" length="0">
    <dxf>
      <font>
        <b/>
        <sz val="7"/>
        <color auto="1"/>
        <name val="Arial"/>
        <scheme val="none"/>
      </font>
      <alignment horizontal="center" vertical="top" wrapText="1" readingOrder="0"/>
      <border outline="0">
        <top style="thin">
          <color rgb="FF000000"/>
        </top>
        <bottom style="thin">
          <color rgb="FF000000"/>
        </bottom>
      </border>
    </dxf>
  </rfmt>
  <rfmt sheetId="25" sqref="N36" start="0" length="0">
    <dxf>
      <font>
        <b/>
        <sz val="7"/>
        <color auto="1"/>
        <name val="Arial"/>
        <scheme val="none"/>
      </font>
      <alignment horizontal="center" vertical="top" wrapText="1" readingOrder="0"/>
      <border outline="0">
        <top style="thin">
          <color rgb="FF000000"/>
        </top>
        <bottom style="thin">
          <color rgb="FF000000"/>
        </bottom>
      </border>
    </dxf>
  </rfmt>
  <rfmt sheetId="25" sqref="O36" start="0" length="0">
    <dxf>
      <font>
        <b/>
        <sz val="7"/>
        <color auto="1"/>
        <name val="Arial"/>
        <scheme val="none"/>
      </font>
      <alignment horizontal="center" vertical="top" wrapText="1" readingOrder="0"/>
      <border outline="0">
        <top style="thin">
          <color rgb="FF000000"/>
        </top>
        <bottom style="thin">
          <color rgb="FF000000"/>
        </bottom>
      </border>
    </dxf>
  </rfmt>
  <rfmt sheetId="25" sqref="P36" start="0" length="0">
    <dxf>
      <font>
        <b/>
        <sz val="7"/>
        <color auto="1"/>
        <name val="Arial"/>
        <scheme val="none"/>
      </font>
      <alignment horizontal="center" vertical="top" wrapText="1" readingOrder="0"/>
      <border outline="0">
        <top style="thin">
          <color rgb="FF000000"/>
        </top>
        <bottom style="thin">
          <color rgb="FF000000"/>
        </bottom>
      </border>
    </dxf>
  </rfmt>
  <rfmt sheetId="25" sqref="Q36" start="0" length="0">
    <dxf>
      <font>
        <b/>
        <sz val="7"/>
        <color auto="1"/>
        <name val="Arial"/>
        <scheme val="none"/>
      </font>
      <alignment horizontal="center" vertical="top" wrapText="1" readingOrder="0"/>
      <border outline="0">
        <top style="thin">
          <color rgb="FF000000"/>
        </top>
        <bottom style="thin">
          <color rgb="FF000000"/>
        </bottom>
      </border>
    </dxf>
  </rfmt>
  <rfmt sheetId="25" sqref="R36" start="0" length="0">
    <dxf>
      <font>
        <b/>
        <sz val="7"/>
        <color auto="1"/>
        <name val="Arial"/>
        <scheme val="none"/>
      </font>
      <alignment horizontal="center" vertical="top" wrapText="1" readingOrder="0"/>
      <border outline="0">
        <top style="thin">
          <color rgb="FF000000"/>
        </top>
        <bottom style="thin">
          <color rgb="FF000000"/>
        </bottom>
      </border>
    </dxf>
  </rfmt>
  <rfmt sheetId="25" sqref="S36" start="0" length="0">
    <dxf>
      <font>
        <b/>
        <sz val="7"/>
        <color auto="1"/>
        <name val="Arial"/>
        <scheme val="none"/>
      </font>
      <alignment horizontal="center" vertical="top" wrapText="1" readingOrder="0"/>
      <border outline="0">
        <top style="thin">
          <color rgb="FF000000"/>
        </top>
        <bottom style="thin">
          <color rgb="FF000000"/>
        </bottom>
      </border>
    </dxf>
  </rfmt>
  <rfmt sheetId="25" sqref="T36" start="0" length="0">
    <dxf>
      <font>
        <b/>
        <sz val="7"/>
        <color auto="1"/>
        <name val="Arial"/>
        <scheme val="none"/>
      </font>
      <alignment horizontal="center" vertical="top" wrapText="1" readingOrder="0"/>
      <border outline="0">
        <top style="thin">
          <color rgb="FF000000"/>
        </top>
        <bottom style="thin">
          <color rgb="FF000000"/>
        </bottom>
      </border>
    </dxf>
  </rfmt>
  <rfmt sheetId="25" sqref="U36" start="0" length="0">
    <dxf>
      <font>
        <b/>
        <sz val="7"/>
        <color auto="1"/>
        <name val="Arial"/>
        <scheme val="none"/>
      </font>
      <alignment horizontal="center" vertical="top" wrapText="1" readingOrder="0"/>
      <border outline="0">
        <top style="thin">
          <color rgb="FF000000"/>
        </top>
        <bottom style="thin">
          <color rgb="FF000000"/>
        </bottom>
      </border>
    </dxf>
  </rfmt>
  <rfmt sheetId="25" sqref="V36" start="0" length="0">
    <dxf>
      <font>
        <b/>
        <sz val="7"/>
        <color auto="1"/>
        <name val="Arial"/>
        <scheme val="none"/>
      </font>
      <alignment horizontal="center" vertical="top" wrapText="1" readingOrder="0"/>
      <border outline="0">
        <top style="thin">
          <color rgb="FF000000"/>
        </top>
        <bottom style="thin">
          <color rgb="FF000000"/>
        </bottom>
      </border>
    </dxf>
  </rfmt>
  <rfmt sheetId="25" sqref="W36" start="0" length="0">
    <dxf>
      <font>
        <b/>
        <sz val="7"/>
        <color auto="1"/>
        <name val="Arial"/>
        <scheme val="none"/>
      </font>
      <alignment horizontal="center" vertical="top" wrapText="1" readingOrder="0"/>
      <border outline="0">
        <top style="thin">
          <color rgb="FF000000"/>
        </top>
        <bottom style="thin">
          <color rgb="FF000000"/>
        </bottom>
      </border>
    </dxf>
  </rfmt>
  <rfmt sheetId="25" sqref="X36" start="0" length="0">
    <dxf>
      <font>
        <b/>
        <sz val="7"/>
        <color auto="1"/>
        <name val="Arial"/>
        <scheme val="none"/>
      </font>
      <alignment horizontal="center" vertical="top" wrapText="1" readingOrder="0"/>
      <border outline="0">
        <top style="thin">
          <color rgb="FF000000"/>
        </top>
        <bottom style="thin">
          <color rgb="FF000000"/>
        </bottom>
      </border>
    </dxf>
  </rfmt>
  <rfmt sheetId="25" sqref="Y36" start="0" length="0">
    <dxf>
      <font>
        <b/>
        <sz val="7"/>
        <color auto="1"/>
        <name val="Arial"/>
        <scheme val="none"/>
      </font>
      <alignment horizontal="center" vertical="top" wrapText="1" readingOrder="0"/>
      <border outline="0">
        <right style="thin">
          <color rgb="FF000000"/>
        </right>
        <top style="thin">
          <color rgb="FF000000"/>
        </top>
        <bottom style="thin">
          <color rgb="FF000000"/>
        </bottom>
      </border>
    </dxf>
  </rfmt>
  <rfmt sheetId="25" sqref="A37" start="0" length="0">
    <dxf>
      <alignment horizontal="left" vertical="top" readingOrder="0"/>
    </dxf>
  </rfmt>
  <rfmt sheetId="25" sqref="B37" start="0" length="0">
    <dxf>
      <alignment horizontal="left" vertical="top" readingOrder="0"/>
    </dxf>
  </rfmt>
  <rfmt sheetId="25" sqref="C37" start="0" length="0">
    <dxf>
      <alignment horizontal="left" vertical="top" readingOrder="0"/>
    </dxf>
  </rfmt>
  <rfmt sheetId="25" sqref="D37" start="0" length="0">
    <dxf>
      <alignment horizontal="left" vertical="top" readingOrder="0"/>
    </dxf>
  </rfmt>
  <rfmt sheetId="25" sqref="E37" start="0" length="0">
    <dxf>
      <alignment horizontal="left" vertical="top" readingOrder="0"/>
    </dxf>
  </rfmt>
  <rfmt sheetId="25" sqref="F37" start="0" length="0">
    <dxf>
      <alignment horizontal="left" vertical="top" readingOrder="0"/>
    </dxf>
  </rfmt>
  <rfmt sheetId="25" sqref="G37" start="0" length="0">
    <dxf>
      <alignment horizontal="left" vertical="top" readingOrder="0"/>
    </dxf>
  </rfmt>
  <rfmt sheetId="25" sqref="H37" start="0" length="0">
    <dxf>
      <alignment horizontal="left" vertical="top" readingOrder="0"/>
    </dxf>
  </rfmt>
  <rfmt sheetId="25" sqref="I37" start="0" length="0">
    <dxf>
      <alignment horizontal="left" vertical="top" readingOrder="0"/>
    </dxf>
  </rfmt>
  <rfmt sheetId="25" sqref="J37" start="0" length="0">
    <dxf>
      <alignment horizontal="left" vertical="top" readingOrder="0"/>
    </dxf>
  </rfmt>
  <rfmt sheetId="25" sqref="K37" start="0" length="0">
    <dxf>
      <alignment horizontal="left" vertical="top" readingOrder="0"/>
    </dxf>
  </rfmt>
  <rfmt sheetId="25" sqref="L37" start="0" length="0">
    <dxf>
      <alignment horizontal="left" vertical="top" readingOrder="0"/>
    </dxf>
  </rfmt>
  <rfmt sheetId="25" sqref="M37" start="0" length="0">
    <dxf>
      <alignment horizontal="left" vertical="top" readingOrder="0"/>
    </dxf>
  </rfmt>
  <rfmt sheetId="25" sqref="N37" start="0" length="0">
    <dxf>
      <alignment horizontal="left" vertical="top" readingOrder="0"/>
    </dxf>
  </rfmt>
  <rfmt sheetId="25" sqref="O37" start="0" length="0">
    <dxf>
      <alignment horizontal="left" vertical="top" readingOrder="0"/>
    </dxf>
  </rfmt>
  <rfmt sheetId="25" sqref="P37" start="0" length="0">
    <dxf>
      <alignment horizontal="left" vertical="top" readingOrder="0"/>
    </dxf>
  </rfmt>
  <rfmt sheetId="25" sqref="Q37" start="0" length="0">
    <dxf>
      <alignment horizontal="left" vertical="top" readingOrder="0"/>
    </dxf>
  </rfmt>
  <rfmt sheetId="25" sqref="R37" start="0" length="0">
    <dxf>
      <alignment horizontal="left" vertical="top" readingOrder="0"/>
    </dxf>
  </rfmt>
  <rfmt sheetId="25" sqref="S37" start="0" length="0">
    <dxf>
      <alignment horizontal="left" vertical="top" readingOrder="0"/>
    </dxf>
  </rfmt>
  <rfmt sheetId="25" sqref="T37" start="0" length="0">
    <dxf>
      <alignment horizontal="left" vertical="top" readingOrder="0"/>
    </dxf>
  </rfmt>
  <rfmt sheetId="25" sqref="U37" start="0" length="0">
    <dxf>
      <alignment horizontal="left" vertical="top" readingOrder="0"/>
    </dxf>
  </rfmt>
  <rfmt sheetId="25" sqref="V37" start="0" length="0">
    <dxf>
      <alignment horizontal="left" vertical="top" readingOrder="0"/>
    </dxf>
  </rfmt>
  <rfmt sheetId="25" sqref="W37" start="0" length="0">
    <dxf>
      <alignment horizontal="left" vertical="top" readingOrder="0"/>
    </dxf>
  </rfmt>
  <rfmt sheetId="25" sqref="X37" start="0" length="0">
    <dxf>
      <alignment horizontal="left" vertical="top" readingOrder="0"/>
    </dxf>
  </rfmt>
  <rfmt sheetId="25" sqref="Y37" start="0" length="0">
    <dxf>
      <alignment horizontal="left" vertical="top"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userNames.xml><?xml version="1.0" encoding="utf-8"?>
<users xmlns="http://schemas.openxmlformats.org/spreadsheetml/2006/main" xmlns:r="http://schemas.openxmlformats.org/officeDocument/2006/relationships" count="3">
  <userInfo guid="{7D2935A9-0522-48F8-BECD-7EF322356F71}" name="сергей" id="-479480622" dateTime="2019-03-26T13:03:31"/>
  <userInfo guid="{F57A7F94-C262-49F8-B53F-3E4BC8553BBA}" name="сергей" id="-479498325" dateTime="2019-04-22T17:12:43"/>
  <userInfo guid="{77C41D13-E8C1-4B73-BEAA-1345427B9720}" name="сергей" id="-479502354" dateTime="2019-06-20T11:41:52"/>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comments" Target="../comments6.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vmlDrawing" Target="../drawings/vmlDrawing7.v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omments" Target="../comments7.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8.vml"/><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8.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9.vml"/><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5.bin"/><Relationship Id="rId7" Type="http://schemas.openxmlformats.org/officeDocument/2006/relationships/comments" Target="../comments9.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vmlDrawing" Target="../drawings/vmlDrawing10.vml"/><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comments" Target="../comments10.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vmlDrawing" Target="../drawings/vmlDrawing11.vml"/><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omments" Target="../comments11.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12.v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comments" Target="../comments12.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vmlDrawing" Target="../drawings/vmlDrawing13.v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omments" Target="../comments13.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vmlDrawing" Target="../drawings/vmlDrawing14.v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0.bin"/><Relationship Id="rId7"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comments" Target="../comments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vmlDrawing" Target="../drawings/vmlDrawing3.vml"/><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printerSettings" Target="../printerSettings/printerSettings148.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printerSettings" Target="../printerSettings/printerSettings15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printerSettings" Target="../printerSettings/printerSettings15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4" Type="http://schemas.openxmlformats.org/officeDocument/2006/relationships/printerSettings" Target="../printerSettings/printerSettings16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printerSettings" Target="../printerSettings/printerSettings16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0.bin"/><Relationship Id="rId7" Type="http://schemas.openxmlformats.org/officeDocument/2006/relationships/comments" Target="../comments3.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vmlDrawing" Target="../drawings/vmlDrawing4.vml"/><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omments" Target="../comments4.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vmlDrawing" Target="../drawings/vmlDrawing5.vml"/><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6.vml"/><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sheetPr codeName="Лист10">
    <tabColor rgb="FF002060"/>
  </sheetPr>
  <dimension ref="B1:Q210"/>
  <sheetViews>
    <sheetView view="pageBreakPreview" zoomScale="120" zoomScaleNormal="120" zoomScaleSheetLayoutView="120" workbookViewId="0">
      <selection activeCell="N11" sqref="N11"/>
    </sheetView>
  </sheetViews>
  <sheetFormatPr defaultRowHeight="15"/>
  <cols>
    <col min="1" max="1" width="0.7109375" style="1" customWidth="1"/>
    <col min="2" max="2" width="12.28515625" style="1" customWidth="1"/>
    <col min="3" max="3" width="3.28515625" style="1" customWidth="1"/>
    <col min="4" max="13" width="9.28515625" style="1" customWidth="1"/>
    <col min="14" max="16384" width="9.140625" style="1"/>
  </cols>
  <sheetData>
    <row r="1" spans="2:17" ht="3.75" customHeight="1"/>
    <row r="8" spans="2:17">
      <c r="B8" s="374" t="s">
        <v>931</v>
      </c>
      <c r="C8" s="359"/>
      <c r="D8" s="360"/>
      <c r="E8" s="360"/>
      <c r="F8" s="360"/>
      <c r="G8" s="360"/>
      <c r="H8" s="359"/>
      <c r="I8" s="359"/>
      <c r="J8" s="359" t="s">
        <v>621</v>
      </c>
      <c r="K8" s="361"/>
      <c r="L8" s="361"/>
      <c r="M8" s="361"/>
      <c r="N8" s="359" t="s">
        <v>932</v>
      </c>
      <c r="O8" s="361"/>
      <c r="P8" s="361"/>
      <c r="Q8" s="361"/>
    </row>
    <row r="9" spans="2:17" ht="38.25" customHeight="1"/>
    <row r="10" spans="2:17" s="89" customFormat="1"/>
    <row r="11" spans="2:17" s="89" customFormat="1"/>
    <row r="12" spans="2:17" s="89" customFormat="1"/>
    <row r="13" spans="2:17" s="89" customFormat="1"/>
    <row r="14" spans="2:17" s="89" customFormat="1"/>
    <row r="15" spans="2:17" s="89" customFormat="1"/>
    <row r="16" spans="2:17" s="89" customFormat="1"/>
    <row r="17" spans="2:15" s="89" customFormat="1"/>
    <row r="18" spans="2:15" s="89" customFormat="1"/>
    <row r="19" spans="2:15" s="89" customFormat="1"/>
    <row r="20" spans="2:15" s="89" customFormat="1"/>
    <row r="21" spans="2:15" s="89" customFormat="1"/>
    <row r="22" spans="2:15" s="89" customFormat="1"/>
    <row r="23" spans="2:15" s="89" customFormat="1"/>
    <row r="24" spans="2:15" s="89" customFormat="1"/>
    <row r="25" spans="2:15" s="89" customFormat="1">
      <c r="B25" s="358" t="s">
        <v>431</v>
      </c>
      <c r="C25" s="362"/>
      <c r="D25" s="363"/>
      <c r="M25" s="364"/>
    </row>
    <row r="26" spans="2:15">
      <c r="B26" s="365" t="s">
        <v>375</v>
      </c>
      <c r="C26" s="366"/>
      <c r="D26" s="367" t="s">
        <v>382</v>
      </c>
      <c r="E26" s="366"/>
      <c r="F26" s="366"/>
      <c r="G26" s="366"/>
      <c r="H26" s="366"/>
      <c r="I26" s="366"/>
      <c r="J26" s="366"/>
      <c r="K26" s="366"/>
      <c r="L26" s="366"/>
      <c r="M26" s="366"/>
    </row>
    <row r="27" spans="2:15" ht="15" customHeight="1">
      <c r="C27" s="2" t="s">
        <v>383</v>
      </c>
      <c r="D27" s="1" t="s">
        <v>376</v>
      </c>
    </row>
    <row r="28" spans="2:15" ht="15" customHeight="1">
      <c r="C28" s="2" t="s">
        <v>383</v>
      </c>
      <c r="D28" s="1" t="s">
        <v>377</v>
      </c>
    </row>
    <row r="29" spans="2:15" ht="15" customHeight="1">
      <c r="C29" s="2" t="s">
        <v>383</v>
      </c>
      <c r="D29" s="1" t="s">
        <v>378</v>
      </c>
      <c r="O29"/>
    </row>
    <row r="30" spans="2:15" ht="15" customHeight="1">
      <c r="C30" s="2" t="s">
        <v>383</v>
      </c>
      <c r="D30" s="1" t="s">
        <v>379</v>
      </c>
    </row>
    <row r="31" spans="2:15" ht="15" customHeight="1">
      <c r="C31" s="2" t="s">
        <v>383</v>
      </c>
      <c r="D31" s="1" t="s">
        <v>380</v>
      </c>
    </row>
    <row r="32" spans="2:15" ht="15" customHeight="1">
      <c r="C32" s="2" t="s">
        <v>383</v>
      </c>
      <c r="D32" s="1" t="s">
        <v>381</v>
      </c>
    </row>
    <row r="33" spans="2:15">
      <c r="C33" s="361"/>
    </row>
    <row r="34" spans="2:15">
      <c r="B34" s="365" t="s">
        <v>384</v>
      </c>
      <c r="C34" s="368" t="s">
        <v>383</v>
      </c>
      <c r="D34" s="367"/>
      <c r="E34" s="366"/>
      <c r="F34" s="366"/>
      <c r="G34" s="366"/>
      <c r="H34" s="366"/>
      <c r="I34" s="366"/>
      <c r="J34" s="366"/>
      <c r="K34" s="366"/>
      <c r="L34" s="366"/>
      <c r="M34" s="366"/>
    </row>
    <row r="35" spans="2:15" ht="44.25" customHeight="1">
      <c r="C35" s="368"/>
      <c r="D35" s="1569"/>
      <c r="E35" s="1569"/>
      <c r="F35" s="1569"/>
      <c r="G35" s="1569"/>
      <c r="H35" s="1569"/>
      <c r="I35" s="1569"/>
      <c r="J35" s="1569"/>
      <c r="K35" s="1569"/>
      <c r="L35" s="1569"/>
      <c r="M35" s="1569"/>
    </row>
    <row r="36" spans="2:15" ht="15.75" customHeight="1">
      <c r="C36" s="2"/>
      <c r="O36"/>
    </row>
    <row r="37" spans="2:15" ht="15.75" customHeight="1">
      <c r="C37" s="2"/>
    </row>
    <row r="38" spans="2:15" ht="15.75" customHeight="1">
      <c r="C38" s="2"/>
    </row>
    <row r="39" spans="2:15" ht="15.75" customHeight="1">
      <c r="C39" s="2"/>
    </row>
    <row r="40" spans="2:15">
      <c r="B40" s="361"/>
      <c r="C40" s="361"/>
      <c r="D40" s="361"/>
      <c r="E40" s="361"/>
      <c r="F40" s="361"/>
      <c r="G40" s="361"/>
      <c r="H40" s="361"/>
      <c r="I40" s="361"/>
      <c r="J40" s="361"/>
      <c r="K40" s="361"/>
      <c r="L40" s="361"/>
      <c r="M40" s="361"/>
    </row>
    <row r="41" spans="2:15" ht="15.75" customHeight="1">
      <c r="B41" s="458" t="s">
        <v>757</v>
      </c>
      <c r="C41" s="368" t="s">
        <v>383</v>
      </c>
      <c r="D41" s="1570" t="s">
        <v>758</v>
      </c>
      <c r="E41" s="1570"/>
      <c r="F41" s="1570"/>
      <c r="G41" s="1570"/>
      <c r="H41" s="1570"/>
      <c r="I41" s="1570"/>
      <c r="J41" s="1570"/>
      <c r="K41" s="1570"/>
      <c r="L41" s="1570"/>
      <c r="M41" s="1570"/>
    </row>
    <row r="42" spans="2:15">
      <c r="D42" s="1571"/>
      <c r="E42" s="1571"/>
      <c r="F42" s="1571"/>
      <c r="G42" s="1571"/>
      <c r="H42" s="1571"/>
      <c r="I42" s="1571"/>
      <c r="J42" s="1571"/>
      <c r="K42" s="1571"/>
      <c r="L42" s="1571"/>
      <c r="M42" s="1571"/>
    </row>
    <row r="43" spans="2:15">
      <c r="D43" s="1571"/>
      <c r="E43" s="1571"/>
      <c r="F43" s="1571"/>
      <c r="G43" s="1571"/>
      <c r="H43" s="1571"/>
      <c r="I43" s="1571"/>
      <c r="J43" s="1571"/>
      <c r="K43" s="1571"/>
      <c r="L43" s="1571"/>
      <c r="M43" s="1571"/>
    </row>
    <row r="44" spans="2:15">
      <c r="D44" s="1571"/>
      <c r="E44" s="1571"/>
      <c r="F44" s="1571"/>
      <c r="G44" s="1571"/>
      <c r="H44" s="1571"/>
      <c r="I44" s="1571"/>
      <c r="J44" s="1571"/>
      <c r="K44" s="1571"/>
      <c r="L44" s="1571"/>
      <c r="M44" s="1571"/>
    </row>
    <row r="45" spans="2:15" ht="15.75" customHeight="1">
      <c r="C45" s="368" t="s">
        <v>383</v>
      </c>
      <c r="D45" s="1572" t="s">
        <v>759</v>
      </c>
      <c r="E45" s="1572"/>
      <c r="F45" s="1572"/>
      <c r="G45" s="1572"/>
      <c r="H45" s="1572"/>
      <c r="I45" s="1572"/>
      <c r="J45" s="1572"/>
      <c r="K45" s="1572"/>
      <c r="L45" s="1572"/>
      <c r="M45" s="1572"/>
    </row>
    <row r="46" spans="2:15" ht="15.75" customHeight="1">
      <c r="D46" s="1572"/>
      <c r="E46" s="1572"/>
      <c r="F46" s="1572"/>
      <c r="G46" s="1572"/>
      <c r="H46" s="1572"/>
      <c r="I46" s="1572"/>
      <c r="J46" s="1572"/>
      <c r="K46" s="1572"/>
      <c r="L46" s="1572"/>
      <c r="M46" s="1572"/>
      <c r="O46"/>
    </row>
    <row r="47" spans="2:15" ht="15.75" customHeight="1">
      <c r="D47" s="1572"/>
      <c r="E47" s="1572"/>
      <c r="F47" s="1572"/>
      <c r="G47" s="1572"/>
      <c r="H47" s="1572"/>
      <c r="I47" s="1572"/>
      <c r="J47" s="1572"/>
      <c r="K47" s="1572"/>
      <c r="L47" s="1572"/>
      <c r="M47" s="1572"/>
    </row>
    <row r="48" spans="2:15">
      <c r="D48" s="1572"/>
      <c r="E48" s="1572"/>
      <c r="F48" s="1572"/>
      <c r="G48" s="1572"/>
      <c r="H48" s="1572"/>
      <c r="I48" s="1572"/>
      <c r="J48" s="1572"/>
      <c r="K48" s="1572"/>
      <c r="L48" s="1572"/>
      <c r="M48" s="1572"/>
    </row>
    <row r="49" spans="2:15">
      <c r="D49" s="1572"/>
      <c r="E49" s="1572"/>
      <c r="F49" s="1572"/>
      <c r="G49" s="1572"/>
      <c r="H49" s="1572"/>
      <c r="I49" s="1572"/>
      <c r="J49" s="1572"/>
      <c r="K49" s="1572"/>
      <c r="L49" s="1572"/>
      <c r="M49" s="1572"/>
    </row>
    <row r="50" spans="2:15">
      <c r="B50" s="361"/>
      <c r="C50" s="361"/>
      <c r="D50" s="361"/>
      <c r="E50" s="361"/>
      <c r="F50" s="361"/>
      <c r="G50" s="361"/>
      <c r="H50" s="361"/>
      <c r="I50" s="361"/>
      <c r="J50" s="361"/>
      <c r="K50" s="361"/>
      <c r="L50" s="361"/>
      <c r="M50" s="361"/>
    </row>
    <row r="51" spans="2:15" ht="15.75" customHeight="1">
      <c r="B51" s="458" t="s">
        <v>760</v>
      </c>
      <c r="C51" s="368" t="s">
        <v>383</v>
      </c>
      <c r="D51" s="1570" t="s">
        <v>761</v>
      </c>
      <c r="E51" s="1570"/>
      <c r="F51" s="1570"/>
      <c r="G51" s="1570"/>
      <c r="H51" s="1570"/>
      <c r="I51" s="1570"/>
      <c r="J51" s="1570"/>
      <c r="K51" s="1570"/>
      <c r="L51" s="1570"/>
      <c r="M51" s="1570"/>
    </row>
    <row r="52" spans="2:15">
      <c r="D52" s="1571"/>
      <c r="E52" s="1571"/>
      <c r="F52" s="1571"/>
      <c r="G52" s="1571"/>
      <c r="H52" s="1571"/>
      <c r="I52" s="1571"/>
      <c r="J52" s="1571"/>
      <c r="K52" s="1571"/>
      <c r="L52" s="1571"/>
      <c r="M52" s="1571"/>
    </row>
    <row r="53" spans="2:15" ht="15.75">
      <c r="D53" s="1571"/>
      <c r="E53" s="1571"/>
      <c r="F53" s="1571"/>
      <c r="G53" s="1571"/>
      <c r="H53" s="1571"/>
      <c r="I53" s="1571"/>
      <c r="J53" s="1571"/>
      <c r="K53" s="1571"/>
      <c r="L53" s="1571"/>
      <c r="M53" s="1571"/>
      <c r="O53"/>
    </row>
    <row r="54" spans="2:15">
      <c r="D54" s="1571"/>
      <c r="E54" s="1571"/>
      <c r="F54" s="1571"/>
      <c r="G54" s="1571"/>
      <c r="H54" s="1571"/>
      <c r="I54" s="1571"/>
      <c r="J54" s="1571"/>
      <c r="K54" s="1571"/>
      <c r="L54" s="1571"/>
      <c r="M54" s="1571"/>
    </row>
    <row r="55" spans="2:15">
      <c r="D55" s="1571"/>
      <c r="E55" s="1571"/>
      <c r="F55" s="1571"/>
      <c r="G55" s="1571"/>
      <c r="H55" s="1571"/>
      <c r="I55" s="1571"/>
      <c r="J55" s="1571"/>
      <c r="K55" s="1571"/>
      <c r="L55" s="1571"/>
      <c r="M55" s="1571"/>
    </row>
    <row r="56" spans="2:15">
      <c r="D56" s="1571"/>
      <c r="E56" s="1571"/>
      <c r="F56" s="1571"/>
      <c r="G56" s="1571"/>
      <c r="H56" s="1571"/>
      <c r="I56" s="1571"/>
      <c r="J56" s="1571"/>
      <c r="K56" s="1571"/>
      <c r="L56" s="1571"/>
      <c r="M56" s="1571"/>
    </row>
    <row r="57" spans="2:15">
      <c r="D57" s="1571"/>
      <c r="E57" s="1571"/>
      <c r="F57" s="1571"/>
      <c r="G57" s="1571"/>
      <c r="H57" s="1571"/>
      <c r="I57" s="1571"/>
      <c r="J57" s="1571"/>
      <c r="K57" s="1571"/>
      <c r="L57" s="1571"/>
      <c r="M57" s="1571"/>
    </row>
    <row r="58" spans="2:15">
      <c r="D58" s="459"/>
      <c r="E58" s="459"/>
      <c r="F58" s="459"/>
      <c r="G58" s="459"/>
      <c r="H58" s="459"/>
      <c r="I58" s="459"/>
      <c r="J58" s="459"/>
      <c r="K58" s="459"/>
      <c r="L58" s="459"/>
      <c r="M58" s="459"/>
    </row>
    <row r="59" spans="2:15" ht="15.75" customHeight="1">
      <c r="B59" s="1573" t="s">
        <v>762</v>
      </c>
      <c r="C59" s="370" t="s">
        <v>383</v>
      </c>
      <c r="D59" s="1570" t="s">
        <v>763</v>
      </c>
      <c r="E59" s="1570"/>
      <c r="F59" s="1570"/>
      <c r="G59" s="1570"/>
      <c r="H59" s="1570"/>
      <c r="I59" s="1570"/>
      <c r="J59" s="1570"/>
      <c r="K59" s="1570"/>
      <c r="L59" s="1570"/>
      <c r="M59" s="1570"/>
    </row>
    <row r="60" spans="2:15" ht="15" customHeight="1">
      <c r="B60" s="1574"/>
      <c r="C60" s="89"/>
      <c r="D60" s="1571"/>
      <c r="E60" s="1571"/>
      <c r="F60" s="1571"/>
      <c r="G60" s="1571"/>
      <c r="H60" s="1571"/>
      <c r="I60" s="1571"/>
      <c r="J60" s="1571"/>
      <c r="K60" s="1571"/>
      <c r="L60" s="1571"/>
      <c r="M60" s="1571"/>
    </row>
    <row r="61" spans="2:15" ht="15" customHeight="1">
      <c r="C61" s="89"/>
      <c r="D61" s="1571"/>
      <c r="E61" s="1571"/>
      <c r="F61" s="1571"/>
      <c r="G61" s="1571"/>
      <c r="H61" s="1571"/>
      <c r="I61" s="1571"/>
      <c r="J61" s="1571"/>
      <c r="K61" s="1571"/>
      <c r="L61" s="1571"/>
      <c r="M61" s="1571"/>
    </row>
    <row r="62" spans="2:15" ht="15" customHeight="1">
      <c r="C62" s="368" t="s">
        <v>383</v>
      </c>
      <c r="D62" s="1572" t="s">
        <v>764</v>
      </c>
      <c r="E62" s="1572"/>
      <c r="F62" s="1572"/>
      <c r="G62" s="1572"/>
      <c r="H62" s="1572"/>
      <c r="I62" s="1572"/>
      <c r="J62" s="1572"/>
      <c r="K62" s="1572"/>
      <c r="L62" s="1572"/>
      <c r="M62" s="1572"/>
    </row>
    <row r="63" spans="2:15">
      <c r="D63" s="1572"/>
      <c r="E63" s="1572"/>
      <c r="F63" s="1572"/>
      <c r="G63" s="1572"/>
      <c r="H63" s="1572"/>
      <c r="I63" s="1572"/>
      <c r="J63" s="1572"/>
      <c r="K63" s="1572"/>
      <c r="L63" s="1572"/>
      <c r="M63" s="1572"/>
    </row>
    <row r="64" spans="2:15">
      <c r="D64" s="1572"/>
      <c r="E64" s="1572"/>
      <c r="F64" s="1572"/>
      <c r="G64" s="1572"/>
      <c r="H64" s="1572"/>
      <c r="I64" s="1572"/>
      <c r="J64" s="1572"/>
      <c r="K64" s="1572"/>
      <c r="L64" s="1572"/>
      <c r="M64" s="1572"/>
    </row>
    <row r="65" spans="2:14" ht="15.75">
      <c r="D65" s="1572"/>
      <c r="E65" s="1572"/>
      <c r="F65" s="1572"/>
      <c r="G65" s="1572"/>
      <c r="H65" s="1572"/>
      <c r="I65" s="1572"/>
      <c r="J65" s="1572"/>
      <c r="K65" s="1572"/>
      <c r="L65" s="1572"/>
      <c r="M65" s="1572"/>
      <c r="N65"/>
    </row>
    <row r="66" spans="2:14">
      <c r="D66" s="1572"/>
      <c r="E66" s="1572"/>
      <c r="F66" s="1572"/>
      <c r="G66" s="1572"/>
      <c r="H66" s="1572"/>
      <c r="I66" s="1572"/>
      <c r="J66" s="1572"/>
      <c r="K66" s="1572"/>
      <c r="L66" s="1572"/>
      <c r="M66" s="1572"/>
    </row>
    <row r="67" spans="2:14" ht="15.75" customHeight="1">
      <c r="C67" s="368" t="s">
        <v>383</v>
      </c>
      <c r="D67" s="1572" t="s">
        <v>765</v>
      </c>
      <c r="E67" s="1572"/>
      <c r="F67" s="1572"/>
      <c r="G67" s="1572"/>
      <c r="H67" s="1572"/>
      <c r="I67" s="1572"/>
      <c r="J67" s="1572"/>
      <c r="K67" s="1572"/>
      <c r="L67" s="1572"/>
      <c r="M67" s="1572"/>
    </row>
    <row r="68" spans="2:14">
      <c r="D68" s="1572"/>
      <c r="E68" s="1572"/>
      <c r="F68" s="1572"/>
      <c r="G68" s="1572"/>
      <c r="H68" s="1572"/>
      <c r="I68" s="1572"/>
      <c r="J68" s="1572"/>
      <c r="K68" s="1572"/>
      <c r="L68" s="1572"/>
      <c r="M68" s="1572"/>
    </row>
    <row r="69" spans="2:14">
      <c r="D69" s="1572"/>
      <c r="E69" s="1572"/>
      <c r="F69" s="1572"/>
      <c r="G69" s="1572"/>
      <c r="H69" s="1572"/>
      <c r="I69" s="1572"/>
      <c r="J69" s="1572"/>
      <c r="K69" s="1572"/>
      <c r="L69" s="1572"/>
      <c r="M69" s="1572"/>
    </row>
    <row r="71" spans="2:14">
      <c r="B71" s="1575" t="s">
        <v>388</v>
      </c>
      <c r="C71" s="366"/>
      <c r="D71" s="367" t="s">
        <v>387</v>
      </c>
      <c r="E71" s="366"/>
      <c r="F71" s="366"/>
      <c r="G71" s="366"/>
      <c r="H71" s="366"/>
      <c r="I71" s="366"/>
      <c r="J71" s="366"/>
      <c r="K71" s="366"/>
      <c r="L71" s="366"/>
      <c r="M71" s="366"/>
    </row>
    <row r="72" spans="2:14" ht="46.5" customHeight="1">
      <c r="B72" s="1576"/>
      <c r="C72" s="369" t="s">
        <v>383</v>
      </c>
      <c r="D72" s="1568" t="s">
        <v>385</v>
      </c>
      <c r="E72" s="1568"/>
      <c r="F72" s="1568"/>
      <c r="G72" s="1568"/>
      <c r="H72" s="1568"/>
      <c r="I72" s="1568"/>
      <c r="J72" s="1568"/>
      <c r="K72" s="1568"/>
      <c r="L72" s="1568"/>
      <c r="M72" s="1568"/>
    </row>
    <row r="73" spans="2:14" ht="33.75" customHeight="1">
      <c r="C73" s="368" t="s">
        <v>383</v>
      </c>
      <c r="D73" s="1566" t="s">
        <v>389</v>
      </c>
      <c r="E73" s="1566"/>
      <c r="F73" s="1566"/>
      <c r="G73" s="1566"/>
      <c r="H73" s="1566"/>
      <c r="I73" s="1566"/>
      <c r="J73" s="1566"/>
      <c r="K73" s="1566"/>
      <c r="L73" s="1566"/>
      <c r="M73" s="1566"/>
    </row>
    <row r="74" spans="2:14" ht="47.25" customHeight="1">
      <c r="C74" s="368" t="s">
        <v>383</v>
      </c>
      <c r="D74" s="1566" t="s">
        <v>386</v>
      </c>
      <c r="E74" s="1566"/>
      <c r="F74" s="1566"/>
      <c r="G74" s="1566"/>
      <c r="H74" s="1566"/>
      <c r="I74" s="1566"/>
      <c r="J74" s="1566"/>
      <c r="K74" s="1566"/>
      <c r="L74" s="1566"/>
      <c r="M74" s="1566"/>
    </row>
    <row r="76" spans="2:14" ht="15" customHeight="1">
      <c r="B76" s="1564" t="s">
        <v>390</v>
      </c>
      <c r="C76" s="370" t="s">
        <v>383</v>
      </c>
      <c r="D76" s="1567" t="s">
        <v>396</v>
      </c>
      <c r="E76" s="1567"/>
      <c r="F76" s="1567"/>
      <c r="G76" s="1567"/>
      <c r="H76" s="1567"/>
      <c r="I76" s="1567"/>
      <c r="J76" s="1567"/>
      <c r="K76" s="1567"/>
      <c r="L76" s="1567"/>
      <c r="M76" s="1567"/>
    </row>
    <row r="77" spans="2:14">
      <c r="B77" s="1565"/>
      <c r="C77" s="89"/>
      <c r="D77" s="1568"/>
      <c r="E77" s="1568"/>
      <c r="F77" s="1568"/>
      <c r="G77" s="1568"/>
      <c r="H77" s="1568"/>
      <c r="I77" s="1568"/>
      <c r="J77" s="1568"/>
      <c r="K77" s="1568"/>
      <c r="L77" s="1568"/>
      <c r="M77" s="1568"/>
    </row>
    <row r="78" spans="2:14">
      <c r="D78" s="371"/>
      <c r="E78" s="371"/>
      <c r="F78" s="371"/>
      <c r="G78" s="371"/>
      <c r="H78" s="371"/>
      <c r="I78" s="371"/>
      <c r="J78" s="371"/>
      <c r="K78" s="371"/>
      <c r="L78" s="371"/>
      <c r="M78" s="371"/>
    </row>
    <row r="79" spans="2:14">
      <c r="B79" s="365" t="s">
        <v>391</v>
      </c>
      <c r="C79" s="370" t="s">
        <v>383</v>
      </c>
      <c r="D79" s="1567" t="s">
        <v>428</v>
      </c>
      <c r="E79" s="1567"/>
      <c r="F79" s="1567"/>
      <c r="G79" s="1567"/>
      <c r="H79" s="1567"/>
      <c r="I79" s="1567"/>
      <c r="J79" s="1567"/>
      <c r="K79" s="1567"/>
      <c r="L79" s="1567"/>
      <c r="M79" s="1567"/>
    </row>
    <row r="80" spans="2:14">
      <c r="B80" s="89"/>
      <c r="C80" s="89"/>
      <c r="D80" s="1568"/>
      <c r="E80" s="1568"/>
      <c r="F80" s="1568"/>
      <c r="G80" s="1568"/>
      <c r="H80" s="1568"/>
      <c r="I80" s="1568"/>
      <c r="J80" s="1568"/>
      <c r="K80" s="1568"/>
      <c r="L80" s="1568"/>
      <c r="M80" s="1568"/>
    </row>
    <row r="81" spans="2:13">
      <c r="B81" s="89"/>
      <c r="C81" s="89"/>
      <c r="D81" s="1568"/>
      <c r="E81" s="1568"/>
      <c r="F81" s="1568"/>
      <c r="G81" s="1568"/>
      <c r="H81" s="1568"/>
      <c r="I81" s="1568"/>
      <c r="J81" s="1568"/>
      <c r="K81" s="1568"/>
      <c r="L81" s="1568"/>
      <c r="M81" s="1568"/>
    </row>
    <row r="82" spans="2:13">
      <c r="B82" s="89"/>
      <c r="C82" s="89"/>
      <c r="D82" s="1568"/>
      <c r="E82" s="1568"/>
      <c r="F82" s="1568"/>
      <c r="G82" s="1568"/>
      <c r="H82" s="1568"/>
      <c r="I82" s="1568"/>
      <c r="J82" s="1568"/>
      <c r="K82" s="1568"/>
      <c r="L82" s="1568"/>
      <c r="M82" s="1568"/>
    </row>
    <row r="83" spans="2:13">
      <c r="B83" s="89"/>
      <c r="C83" s="89"/>
      <c r="D83" s="1568"/>
      <c r="E83" s="1568"/>
      <c r="F83" s="1568"/>
      <c r="G83" s="1568"/>
      <c r="H83" s="1568"/>
      <c r="I83" s="1568"/>
      <c r="J83" s="1568"/>
      <c r="K83" s="1568"/>
      <c r="L83" s="1568"/>
      <c r="M83" s="1568"/>
    </row>
    <row r="84" spans="2:13">
      <c r="B84" s="89"/>
      <c r="C84" s="89"/>
      <c r="D84" s="1568"/>
      <c r="E84" s="1568"/>
      <c r="F84" s="1568"/>
      <c r="G84" s="1568"/>
      <c r="H84" s="1568"/>
      <c r="I84" s="1568"/>
      <c r="J84" s="1568"/>
      <c r="K84" s="1568"/>
      <c r="L84" s="1568"/>
      <c r="M84" s="1568"/>
    </row>
    <row r="85" spans="2:13">
      <c r="B85" s="89"/>
      <c r="C85" s="89"/>
      <c r="D85" s="1568"/>
      <c r="E85" s="1568"/>
      <c r="F85" s="1568"/>
      <c r="G85" s="1568"/>
      <c r="H85" s="1568"/>
      <c r="I85" s="1568"/>
      <c r="J85" s="1568"/>
      <c r="K85" s="1568"/>
      <c r="L85" s="1568"/>
      <c r="M85" s="1568"/>
    </row>
    <row r="86" spans="2:13">
      <c r="B86" s="89"/>
      <c r="C86" s="89"/>
      <c r="D86" s="1568"/>
      <c r="E86" s="1568"/>
      <c r="F86" s="1568"/>
      <c r="G86" s="1568"/>
      <c r="H86" s="1568"/>
      <c r="I86" s="1568"/>
      <c r="J86" s="1568"/>
      <c r="K86" s="1568"/>
      <c r="L86" s="1568"/>
      <c r="M86" s="1568"/>
    </row>
    <row r="87" spans="2:13">
      <c r="B87" s="89"/>
      <c r="C87" s="89"/>
      <c r="D87" s="1568"/>
      <c r="E87" s="1568"/>
      <c r="F87" s="1568"/>
      <c r="G87" s="1568"/>
      <c r="H87" s="1568"/>
      <c r="I87" s="1568"/>
      <c r="J87" s="1568"/>
      <c r="K87" s="1568"/>
      <c r="L87" s="1568"/>
      <c r="M87" s="1568"/>
    </row>
    <row r="88" spans="2:13">
      <c r="B88" s="89"/>
      <c r="C88" s="89"/>
      <c r="D88" s="1568"/>
      <c r="E88" s="1568"/>
      <c r="F88" s="1568"/>
      <c r="G88" s="1568"/>
      <c r="H88" s="1568"/>
      <c r="I88" s="1568"/>
      <c r="J88" s="1568"/>
      <c r="K88" s="1568"/>
      <c r="L88" s="1568"/>
      <c r="M88" s="1568"/>
    </row>
    <row r="89" spans="2:13">
      <c r="B89" s="89"/>
      <c r="C89" s="89"/>
      <c r="D89" s="1568"/>
      <c r="E89" s="1568"/>
      <c r="F89" s="1568"/>
      <c r="G89" s="1568"/>
      <c r="H89" s="1568"/>
      <c r="I89" s="1568"/>
      <c r="J89" s="1568"/>
      <c r="K89" s="1568"/>
      <c r="L89" s="1568"/>
      <c r="M89" s="1568"/>
    </row>
    <row r="90" spans="2:13" ht="15" customHeight="1">
      <c r="B90" s="1564" t="s">
        <v>392</v>
      </c>
      <c r="C90" s="370" t="s">
        <v>383</v>
      </c>
      <c r="D90" s="1567" t="s">
        <v>397</v>
      </c>
      <c r="E90" s="1567"/>
      <c r="F90" s="1567"/>
      <c r="G90" s="1567"/>
      <c r="H90" s="1567"/>
      <c r="I90" s="1567"/>
      <c r="J90" s="1567"/>
      <c r="K90" s="1567"/>
      <c r="L90" s="1567"/>
      <c r="M90" s="1567"/>
    </row>
    <row r="91" spans="2:13">
      <c r="B91" s="1565"/>
      <c r="C91" s="89"/>
      <c r="D91" s="1568"/>
      <c r="E91" s="1568"/>
      <c r="F91" s="1568"/>
      <c r="G91" s="1568"/>
      <c r="H91" s="1568"/>
      <c r="I91" s="1568"/>
      <c r="J91" s="1568"/>
      <c r="K91" s="1568"/>
      <c r="L91" s="1568"/>
      <c r="M91" s="1568"/>
    </row>
    <row r="92" spans="2:13">
      <c r="B92" s="1565"/>
      <c r="C92" s="89"/>
      <c r="D92" s="1568"/>
      <c r="E92" s="1568"/>
      <c r="F92" s="1568"/>
      <c r="G92" s="1568"/>
      <c r="H92" s="1568"/>
      <c r="I92" s="1568"/>
      <c r="J92" s="1568"/>
      <c r="K92" s="1568"/>
      <c r="L92" s="1568"/>
      <c r="M92" s="1568"/>
    </row>
    <row r="93" spans="2:13">
      <c r="B93" s="372"/>
      <c r="C93" s="369" t="s">
        <v>383</v>
      </c>
      <c r="D93" s="1566" t="s">
        <v>398</v>
      </c>
      <c r="E93" s="1566"/>
      <c r="F93" s="1566"/>
      <c r="G93" s="1566"/>
      <c r="H93" s="1566"/>
      <c r="I93" s="1566"/>
      <c r="J93" s="1566"/>
      <c r="K93" s="1566"/>
      <c r="L93" s="1566"/>
      <c r="M93" s="1566"/>
    </row>
    <row r="94" spans="2:13">
      <c r="C94" s="89"/>
      <c r="D94" s="1566"/>
      <c r="E94" s="1566"/>
      <c r="F94" s="1566"/>
      <c r="G94" s="1566"/>
      <c r="H94" s="1566"/>
      <c r="I94" s="1566"/>
      <c r="J94" s="1566"/>
      <c r="K94" s="1566"/>
      <c r="L94" s="1566"/>
      <c r="M94" s="1566"/>
    </row>
    <row r="95" spans="2:13">
      <c r="C95" s="369" t="s">
        <v>383</v>
      </c>
      <c r="D95" s="1563" t="s">
        <v>399</v>
      </c>
      <c r="E95" s="1563"/>
      <c r="F95" s="1563"/>
      <c r="G95" s="1563"/>
      <c r="H95" s="1563"/>
      <c r="I95" s="1563"/>
      <c r="J95" s="1563"/>
      <c r="K95" s="1563"/>
      <c r="L95" s="1563"/>
      <c r="M95" s="1563"/>
    </row>
    <row r="96" spans="2:13">
      <c r="C96" s="89"/>
      <c r="D96" s="1563"/>
      <c r="E96" s="1563"/>
      <c r="F96" s="1563"/>
      <c r="G96" s="1563"/>
      <c r="H96" s="1563"/>
      <c r="I96" s="1563"/>
      <c r="J96" s="1563"/>
      <c r="K96" s="1563"/>
      <c r="L96" s="1563"/>
      <c r="M96" s="1563"/>
    </row>
    <row r="97" spans="2:13">
      <c r="C97" s="369" t="s">
        <v>383</v>
      </c>
      <c r="D97" s="1563" t="s">
        <v>400</v>
      </c>
      <c r="E97" s="1563"/>
      <c r="F97" s="1563"/>
      <c r="G97" s="1563"/>
      <c r="H97" s="1563"/>
      <c r="I97" s="1563"/>
      <c r="J97" s="1563"/>
      <c r="K97" s="1563"/>
      <c r="L97" s="1563"/>
      <c r="M97" s="1563"/>
    </row>
    <row r="98" spans="2:13">
      <c r="C98" s="89"/>
      <c r="D98" s="1563"/>
      <c r="E98" s="1563"/>
      <c r="F98" s="1563"/>
      <c r="G98" s="1563"/>
      <c r="H98" s="1563"/>
      <c r="I98" s="1563"/>
      <c r="J98" s="1563"/>
      <c r="K98" s="1563"/>
      <c r="L98" s="1563"/>
      <c r="M98" s="1563"/>
    </row>
    <row r="99" spans="2:13">
      <c r="C99" s="369" t="s">
        <v>383</v>
      </c>
      <c r="D99" s="1563" t="s">
        <v>401</v>
      </c>
      <c r="E99" s="1563"/>
      <c r="F99" s="1563"/>
      <c r="G99" s="1563"/>
      <c r="H99" s="1563"/>
      <c r="I99" s="1563"/>
      <c r="J99" s="1563"/>
      <c r="K99" s="1563"/>
      <c r="L99" s="1563"/>
      <c r="M99" s="1563"/>
    </row>
    <row r="100" spans="2:13">
      <c r="C100" s="89"/>
      <c r="D100" s="1563"/>
      <c r="E100" s="1563"/>
      <c r="F100" s="1563"/>
      <c r="G100" s="1563"/>
      <c r="H100" s="1563"/>
      <c r="I100" s="1563"/>
      <c r="J100" s="1563"/>
      <c r="K100" s="1563"/>
      <c r="L100" s="1563"/>
      <c r="M100" s="1563"/>
    </row>
    <row r="102" spans="2:13">
      <c r="B102" s="365" t="s">
        <v>393</v>
      </c>
      <c r="C102" s="370" t="s">
        <v>383</v>
      </c>
      <c r="D102" s="1567" t="s">
        <v>402</v>
      </c>
      <c r="E102" s="1567"/>
      <c r="F102" s="1567"/>
      <c r="G102" s="1567"/>
      <c r="H102" s="1567"/>
      <c r="I102" s="1567"/>
      <c r="J102" s="1567"/>
      <c r="K102" s="1567"/>
      <c r="L102" s="1567"/>
      <c r="M102" s="1567"/>
    </row>
    <row r="103" spans="2:13">
      <c r="B103" s="89"/>
      <c r="C103" s="89"/>
      <c r="D103" s="1568"/>
      <c r="E103" s="1568"/>
      <c r="F103" s="1568"/>
      <c r="G103" s="1568"/>
      <c r="H103" s="1568"/>
      <c r="I103" s="1568"/>
      <c r="J103" s="1568"/>
      <c r="K103" s="1568"/>
      <c r="L103" s="1568"/>
      <c r="M103" s="1568"/>
    </row>
    <row r="104" spans="2:13">
      <c r="B104" s="89"/>
      <c r="C104" s="89"/>
      <c r="D104" s="1568"/>
      <c r="E104" s="1568"/>
      <c r="F104" s="1568"/>
      <c r="G104" s="1568"/>
      <c r="H104" s="1568"/>
      <c r="I104" s="1568"/>
      <c r="J104" s="1568"/>
      <c r="K104" s="1568"/>
      <c r="L104" s="1568"/>
      <c r="M104" s="1568"/>
    </row>
    <row r="105" spans="2:13">
      <c r="B105" s="89"/>
      <c r="C105" s="89"/>
      <c r="D105" s="1568"/>
      <c r="E105" s="1568"/>
      <c r="F105" s="1568"/>
      <c r="G105" s="1568"/>
      <c r="H105" s="1568"/>
      <c r="I105" s="1568"/>
      <c r="J105" s="1568"/>
      <c r="K105" s="1568"/>
      <c r="L105" s="1568"/>
      <c r="M105" s="1568"/>
    </row>
    <row r="106" spans="2:13">
      <c r="B106" s="89"/>
      <c r="C106" s="89"/>
      <c r="D106" s="1568"/>
      <c r="E106" s="1568"/>
      <c r="F106" s="1568"/>
      <c r="G106" s="1568"/>
      <c r="H106" s="1568"/>
      <c r="I106" s="1568"/>
      <c r="J106" s="1568"/>
      <c r="K106" s="1568"/>
      <c r="L106" s="1568"/>
      <c r="M106" s="1568"/>
    </row>
    <row r="107" spans="2:13">
      <c r="B107" s="89"/>
      <c r="C107" s="89"/>
      <c r="D107" s="1568"/>
      <c r="E107" s="1568"/>
      <c r="F107" s="1568"/>
      <c r="G107" s="1568"/>
      <c r="H107" s="1568"/>
      <c r="I107" s="1568"/>
      <c r="J107" s="1568"/>
      <c r="K107" s="1568"/>
      <c r="L107" s="1568"/>
      <c r="M107" s="1568"/>
    </row>
    <row r="108" spans="2:13">
      <c r="B108" s="89"/>
      <c r="C108" s="89"/>
      <c r="D108" s="1568"/>
      <c r="E108" s="1568"/>
      <c r="F108" s="1568"/>
      <c r="G108" s="1568"/>
      <c r="H108" s="1568"/>
      <c r="I108" s="1568"/>
      <c r="J108" s="1568"/>
      <c r="K108" s="1568"/>
      <c r="L108" s="1568"/>
      <c r="M108" s="1568"/>
    </row>
    <row r="109" spans="2:13">
      <c r="B109" s="89"/>
      <c r="C109" s="89"/>
      <c r="D109" s="1568"/>
      <c r="E109" s="1568"/>
      <c r="F109" s="1568"/>
      <c r="G109" s="1568"/>
      <c r="H109" s="1568"/>
      <c r="I109" s="1568"/>
      <c r="J109" s="1568"/>
      <c r="K109" s="1568"/>
      <c r="L109" s="1568"/>
      <c r="M109" s="1568"/>
    </row>
    <row r="110" spans="2:13">
      <c r="B110" s="89"/>
      <c r="C110" s="89"/>
      <c r="D110" s="1568"/>
      <c r="E110" s="1568"/>
      <c r="F110" s="1568"/>
      <c r="G110" s="1568"/>
      <c r="H110" s="1568"/>
      <c r="I110" s="1568"/>
      <c r="J110" s="1568"/>
      <c r="K110" s="1568"/>
      <c r="L110" s="1568"/>
      <c r="M110" s="1568"/>
    </row>
    <row r="111" spans="2:13" ht="15" customHeight="1">
      <c r="C111" s="369" t="s">
        <v>383</v>
      </c>
      <c r="D111" s="47" t="s">
        <v>403</v>
      </c>
      <c r="E111" s="373"/>
      <c r="F111" s="373"/>
      <c r="G111" s="373"/>
      <c r="H111" s="373"/>
      <c r="I111" s="373"/>
      <c r="J111" s="373"/>
      <c r="K111" s="373"/>
      <c r="L111" s="373"/>
      <c r="M111" s="373"/>
    </row>
    <row r="112" spans="2:13" ht="15" customHeight="1">
      <c r="C112" s="369" t="s">
        <v>383</v>
      </c>
      <c r="D112" s="47" t="s">
        <v>404</v>
      </c>
      <c r="E112" s="373"/>
      <c r="F112" s="373"/>
      <c r="G112" s="373"/>
      <c r="H112" s="373"/>
      <c r="I112" s="373"/>
      <c r="J112" s="373"/>
      <c r="L112" s="373"/>
      <c r="M112" s="373"/>
    </row>
    <row r="113" spans="2:13" ht="15" customHeight="1">
      <c r="C113" s="369" t="s">
        <v>383</v>
      </c>
      <c r="D113" s="47" t="s">
        <v>405</v>
      </c>
    </row>
    <row r="114" spans="2:13" ht="15" customHeight="1">
      <c r="C114" s="369" t="s">
        <v>383</v>
      </c>
      <c r="D114" s="47" t="s">
        <v>406</v>
      </c>
    </row>
    <row r="115" spans="2:13" ht="15" customHeight="1">
      <c r="C115" s="369" t="s">
        <v>383</v>
      </c>
      <c r="D115" s="47" t="s">
        <v>407</v>
      </c>
    </row>
    <row r="116" spans="2:13" ht="15" customHeight="1">
      <c r="C116" s="369" t="s">
        <v>383</v>
      </c>
      <c r="D116" s="47" t="s">
        <v>408</v>
      </c>
    </row>
    <row r="117" spans="2:13" ht="15" customHeight="1">
      <c r="C117" s="369" t="s">
        <v>383</v>
      </c>
      <c r="D117" s="47" t="s">
        <v>409</v>
      </c>
    </row>
    <row r="118" spans="2:13" ht="15" customHeight="1">
      <c r="C118" s="369" t="s">
        <v>383</v>
      </c>
      <c r="D118" s="47" t="s">
        <v>410</v>
      </c>
    </row>
    <row r="120" spans="2:13">
      <c r="B120" s="365" t="s">
        <v>394</v>
      </c>
      <c r="C120" s="370" t="s">
        <v>383</v>
      </c>
      <c r="D120" s="1567" t="s">
        <v>411</v>
      </c>
      <c r="E120" s="1567"/>
      <c r="F120" s="1567"/>
      <c r="G120" s="1567"/>
      <c r="H120" s="1567"/>
      <c r="I120" s="1567"/>
      <c r="J120" s="1567"/>
      <c r="K120" s="1567"/>
      <c r="L120" s="1567"/>
      <c r="M120" s="1567"/>
    </row>
    <row r="121" spans="2:13">
      <c r="B121" s="89"/>
      <c r="C121" s="89"/>
      <c r="D121" s="1568"/>
      <c r="E121" s="1568"/>
      <c r="F121" s="1568"/>
      <c r="G121" s="1568"/>
      <c r="H121" s="1568"/>
      <c r="I121" s="1568"/>
      <c r="J121" s="1568"/>
      <c r="K121" s="1568"/>
      <c r="L121" s="1568"/>
      <c r="M121" s="1568"/>
    </row>
    <row r="122" spans="2:13">
      <c r="B122" s="89"/>
      <c r="C122" s="89"/>
      <c r="D122" s="1568"/>
      <c r="E122" s="1568"/>
      <c r="F122" s="1568"/>
      <c r="G122" s="1568"/>
      <c r="H122" s="1568"/>
      <c r="I122" s="1568"/>
      <c r="J122" s="1568"/>
      <c r="K122" s="1568"/>
      <c r="L122" s="1568"/>
      <c r="M122" s="1568"/>
    </row>
    <row r="123" spans="2:13">
      <c r="C123" s="369" t="s">
        <v>383</v>
      </c>
      <c r="D123" s="1566" t="s">
        <v>575</v>
      </c>
      <c r="E123" s="1566"/>
      <c r="F123" s="1566"/>
      <c r="G123" s="1566"/>
      <c r="H123" s="1566"/>
      <c r="I123" s="1566"/>
      <c r="J123" s="1566"/>
      <c r="K123" s="1566"/>
      <c r="L123" s="1566"/>
      <c r="M123" s="1566"/>
    </row>
    <row r="124" spans="2:13">
      <c r="D124" s="1566"/>
      <c r="E124" s="1566"/>
      <c r="F124" s="1566"/>
      <c r="G124" s="1566"/>
      <c r="H124" s="1566"/>
      <c r="I124" s="1566"/>
      <c r="J124" s="1566"/>
      <c r="K124" s="1566"/>
      <c r="L124" s="1566"/>
      <c r="M124" s="1566"/>
    </row>
    <row r="125" spans="2:13">
      <c r="D125" s="1566"/>
      <c r="E125" s="1566"/>
      <c r="F125" s="1566"/>
      <c r="G125" s="1566"/>
      <c r="H125" s="1566"/>
      <c r="I125" s="1566"/>
      <c r="J125" s="1566"/>
      <c r="K125" s="1566"/>
      <c r="L125" s="1566"/>
      <c r="M125" s="1566"/>
    </row>
    <row r="126" spans="2:13">
      <c r="C126" s="369" t="s">
        <v>383</v>
      </c>
      <c r="D126" s="1566" t="s">
        <v>576</v>
      </c>
      <c r="E126" s="1566"/>
      <c r="F126" s="1566"/>
      <c r="G126" s="1566"/>
      <c r="H126" s="1566"/>
      <c r="I126" s="1566"/>
      <c r="J126" s="1566"/>
      <c r="K126" s="1566"/>
      <c r="L126" s="1566"/>
      <c r="M126" s="1566"/>
    </row>
    <row r="127" spans="2:13">
      <c r="D127" s="1566"/>
      <c r="E127" s="1566"/>
      <c r="F127" s="1566"/>
      <c r="G127" s="1566"/>
      <c r="H127" s="1566"/>
      <c r="I127" s="1566"/>
      <c r="J127" s="1566"/>
      <c r="K127" s="1566"/>
      <c r="L127" s="1566"/>
      <c r="M127" s="1566"/>
    </row>
    <row r="128" spans="2:13">
      <c r="C128" s="369" t="s">
        <v>383</v>
      </c>
      <c r="D128" s="1566" t="s">
        <v>429</v>
      </c>
      <c r="E128" s="1566"/>
      <c r="F128" s="1566"/>
      <c r="G128" s="1566"/>
      <c r="H128" s="1566"/>
      <c r="I128" s="1566"/>
      <c r="J128" s="1566"/>
      <c r="K128" s="1566"/>
      <c r="L128" s="1566"/>
      <c r="M128" s="1566"/>
    </row>
    <row r="129" spans="2:13">
      <c r="D129" s="1566"/>
      <c r="E129" s="1566"/>
      <c r="F129" s="1566"/>
      <c r="G129" s="1566"/>
      <c r="H129" s="1566"/>
      <c r="I129" s="1566"/>
      <c r="J129" s="1566"/>
      <c r="K129" s="1566"/>
      <c r="L129" s="1566"/>
      <c r="M129" s="1566"/>
    </row>
    <row r="130" spans="2:13">
      <c r="D130" s="1566"/>
      <c r="E130" s="1566"/>
      <c r="F130" s="1566"/>
      <c r="G130" s="1566"/>
      <c r="H130" s="1566"/>
      <c r="I130" s="1566"/>
      <c r="J130" s="1566"/>
      <c r="K130" s="1566"/>
      <c r="L130" s="1566"/>
      <c r="M130" s="1566"/>
    </row>
    <row r="131" spans="2:13">
      <c r="D131" s="1566"/>
      <c r="E131" s="1566"/>
      <c r="F131" s="1566"/>
      <c r="G131" s="1566"/>
      <c r="H131" s="1566"/>
      <c r="I131" s="1566"/>
      <c r="J131" s="1566"/>
      <c r="K131" s="1566"/>
      <c r="L131" s="1566"/>
      <c r="M131" s="1566"/>
    </row>
    <row r="132" spans="2:13">
      <c r="D132" s="1566"/>
      <c r="E132" s="1566"/>
      <c r="F132" s="1566"/>
      <c r="G132" s="1566"/>
      <c r="H132" s="1566"/>
      <c r="I132" s="1566"/>
      <c r="J132" s="1566"/>
      <c r="K132" s="1566"/>
      <c r="L132" s="1566"/>
      <c r="M132" s="1566"/>
    </row>
    <row r="134" spans="2:13">
      <c r="B134" s="365" t="s">
        <v>395</v>
      </c>
      <c r="C134" s="370" t="s">
        <v>383</v>
      </c>
      <c r="D134" s="1567" t="s">
        <v>412</v>
      </c>
      <c r="E134" s="1567"/>
      <c r="F134" s="1567"/>
      <c r="G134" s="1567"/>
      <c r="H134" s="1567"/>
      <c r="I134" s="1567"/>
      <c r="J134" s="1567"/>
      <c r="K134" s="1567"/>
      <c r="L134" s="1567"/>
      <c r="M134" s="1567"/>
    </row>
    <row r="135" spans="2:13">
      <c r="B135" s="89"/>
      <c r="C135" s="89"/>
      <c r="D135" s="1568"/>
      <c r="E135" s="1568"/>
      <c r="F135" s="1568"/>
      <c r="G135" s="1568"/>
      <c r="H135" s="1568"/>
      <c r="I135" s="1568"/>
      <c r="J135" s="1568"/>
      <c r="K135" s="1568"/>
      <c r="L135" s="1568"/>
      <c r="M135" s="1568"/>
    </row>
    <row r="136" spans="2:13">
      <c r="B136" s="89"/>
      <c r="C136" s="89"/>
      <c r="D136" s="1568"/>
      <c r="E136" s="1568"/>
      <c r="F136" s="1568"/>
      <c r="G136" s="1568"/>
      <c r="H136" s="1568"/>
      <c r="I136" s="1568"/>
      <c r="J136" s="1568"/>
      <c r="K136" s="1568"/>
      <c r="L136" s="1568"/>
      <c r="M136" s="1568"/>
    </row>
    <row r="137" spans="2:13">
      <c r="D137" s="47" t="s">
        <v>413</v>
      </c>
    </row>
    <row r="138" spans="2:13">
      <c r="D138" s="47" t="s">
        <v>414</v>
      </c>
    </row>
    <row r="139" spans="2:13">
      <c r="D139" s="47" t="s">
        <v>415</v>
      </c>
    </row>
    <row r="140" spans="2:13">
      <c r="D140" s="47" t="s">
        <v>416</v>
      </c>
    </row>
    <row r="141" spans="2:13">
      <c r="C141" s="369" t="s">
        <v>383</v>
      </c>
      <c r="D141" s="1566" t="s">
        <v>417</v>
      </c>
      <c r="E141" s="1566"/>
      <c r="F141" s="1566"/>
      <c r="G141" s="1566"/>
      <c r="H141" s="1566"/>
      <c r="I141" s="1566"/>
      <c r="J141" s="1566"/>
      <c r="K141" s="1566"/>
      <c r="L141" s="1566"/>
      <c r="M141" s="1566"/>
    </row>
    <row r="142" spans="2:13">
      <c r="D142" s="1566"/>
      <c r="E142" s="1566"/>
      <c r="F142" s="1566"/>
      <c r="G142" s="1566"/>
      <c r="H142" s="1566"/>
      <c r="I142" s="1566"/>
      <c r="J142" s="1566"/>
      <c r="K142" s="1566"/>
      <c r="L142" s="1566"/>
      <c r="M142" s="1566"/>
    </row>
    <row r="143" spans="2:13">
      <c r="D143" s="1566"/>
      <c r="E143" s="1566"/>
      <c r="F143" s="1566"/>
      <c r="G143" s="1566"/>
      <c r="H143" s="1566"/>
      <c r="I143" s="1566"/>
      <c r="J143" s="1566"/>
      <c r="K143" s="1566"/>
      <c r="L143" s="1566"/>
      <c r="M143" s="1566"/>
    </row>
    <row r="144" spans="2:13">
      <c r="D144" s="1566"/>
      <c r="E144" s="1566"/>
      <c r="F144" s="1566"/>
      <c r="G144" s="1566"/>
      <c r="H144" s="1566"/>
      <c r="I144" s="1566"/>
      <c r="J144" s="1566"/>
      <c r="K144" s="1566"/>
      <c r="L144" s="1566"/>
      <c r="M144" s="1566"/>
    </row>
    <row r="145" spans="2:13">
      <c r="D145" s="1566"/>
      <c r="E145" s="1566"/>
      <c r="F145" s="1566"/>
      <c r="G145" s="1566"/>
      <c r="H145" s="1566"/>
      <c r="I145" s="1566"/>
      <c r="J145" s="1566"/>
      <c r="K145" s="1566"/>
      <c r="L145" s="1566"/>
      <c r="M145" s="1566"/>
    </row>
    <row r="147" spans="2:13">
      <c r="B147" s="1564" t="s">
        <v>461</v>
      </c>
      <c r="C147" s="370" t="s">
        <v>383</v>
      </c>
      <c r="D147" s="1567" t="s">
        <v>418</v>
      </c>
      <c r="E147" s="1567"/>
      <c r="F147" s="1567"/>
      <c r="G147" s="1567"/>
      <c r="H147" s="1567"/>
      <c r="I147" s="1567"/>
      <c r="J147" s="1567"/>
      <c r="K147" s="1567"/>
      <c r="L147" s="1567"/>
      <c r="M147" s="1567"/>
    </row>
    <row r="148" spans="2:13">
      <c r="B148" s="1565"/>
      <c r="C148" s="89"/>
      <c r="D148" s="1568"/>
      <c r="E148" s="1568"/>
      <c r="F148" s="1568"/>
      <c r="G148" s="1568"/>
      <c r="H148" s="1568"/>
      <c r="I148" s="1568"/>
      <c r="J148" s="1568"/>
      <c r="K148" s="1568"/>
      <c r="L148" s="1568"/>
      <c r="M148" s="1568"/>
    </row>
    <row r="149" spans="2:13">
      <c r="B149" s="89"/>
      <c r="C149" s="89"/>
      <c r="D149" s="1568"/>
      <c r="E149" s="1568"/>
      <c r="F149" s="1568"/>
      <c r="G149" s="1568"/>
      <c r="H149" s="1568"/>
      <c r="I149" s="1568"/>
      <c r="J149" s="1568"/>
      <c r="K149" s="1568"/>
      <c r="L149" s="1568"/>
      <c r="M149" s="1568"/>
    </row>
    <row r="150" spans="2:13">
      <c r="B150" s="89"/>
      <c r="C150" s="89"/>
      <c r="D150" s="1568"/>
      <c r="E150" s="1568"/>
      <c r="F150" s="1568"/>
      <c r="G150" s="1568"/>
      <c r="H150" s="1568"/>
      <c r="I150" s="1568"/>
      <c r="J150" s="1568"/>
      <c r="K150" s="1568"/>
      <c r="L150" s="1568"/>
      <c r="M150" s="1568"/>
    </row>
    <row r="151" spans="2:13">
      <c r="B151" s="89"/>
      <c r="C151" s="89"/>
      <c r="D151" s="1568"/>
      <c r="E151" s="1568"/>
      <c r="F151" s="1568"/>
      <c r="G151" s="1568"/>
      <c r="H151" s="1568"/>
      <c r="I151" s="1568"/>
      <c r="J151" s="1568"/>
      <c r="K151" s="1568"/>
      <c r="L151" s="1568"/>
      <c r="M151" s="1568"/>
    </row>
    <row r="152" spans="2:13">
      <c r="B152" s="89"/>
      <c r="C152" s="89"/>
      <c r="D152" s="1568"/>
      <c r="E152" s="1568"/>
      <c r="F152" s="1568"/>
      <c r="G152" s="1568"/>
      <c r="H152" s="1568"/>
      <c r="I152" s="1568"/>
      <c r="J152" s="1568"/>
      <c r="K152" s="1568"/>
      <c r="L152" s="1568"/>
      <c r="M152" s="1568"/>
    </row>
    <row r="153" spans="2:13">
      <c r="B153" s="89"/>
      <c r="C153" s="89"/>
      <c r="D153" s="1568"/>
      <c r="E153" s="1568"/>
      <c r="F153" s="1568"/>
      <c r="G153" s="1568"/>
      <c r="H153" s="1568"/>
      <c r="I153" s="1568"/>
      <c r="J153" s="1568"/>
      <c r="K153" s="1568"/>
      <c r="L153" s="1568"/>
      <c r="M153" s="1568"/>
    </row>
    <row r="154" spans="2:13">
      <c r="B154" s="89"/>
      <c r="C154" s="89"/>
      <c r="D154" s="1568"/>
      <c r="E154" s="1568"/>
      <c r="F154" s="1568"/>
      <c r="G154" s="1568"/>
      <c r="H154" s="1568"/>
      <c r="I154" s="1568"/>
      <c r="J154" s="1568"/>
      <c r="K154" s="1568"/>
      <c r="L154" s="1568"/>
      <c r="M154" s="1568"/>
    </row>
    <row r="155" spans="2:13">
      <c r="B155" s="89"/>
      <c r="C155" s="89"/>
      <c r="D155" s="1568"/>
      <c r="E155" s="1568"/>
      <c r="F155" s="1568"/>
      <c r="G155" s="1568"/>
      <c r="H155" s="1568"/>
      <c r="I155" s="1568"/>
      <c r="J155" s="1568"/>
      <c r="K155" s="1568"/>
      <c r="L155" s="1568"/>
      <c r="M155" s="1568"/>
    </row>
    <row r="156" spans="2:13">
      <c r="C156" s="369" t="s">
        <v>383</v>
      </c>
      <c r="D156" s="1566" t="s">
        <v>419</v>
      </c>
      <c r="E156" s="1566"/>
      <c r="F156" s="1566"/>
      <c r="G156" s="1566"/>
      <c r="H156" s="1566"/>
      <c r="I156" s="1566"/>
      <c r="J156" s="1566"/>
      <c r="K156" s="1566"/>
      <c r="L156" s="1566"/>
      <c r="M156" s="1566"/>
    </row>
    <row r="157" spans="2:13">
      <c r="D157" s="1566"/>
      <c r="E157" s="1566"/>
      <c r="F157" s="1566"/>
      <c r="G157" s="1566"/>
      <c r="H157" s="1566"/>
      <c r="I157" s="1566"/>
      <c r="J157" s="1566"/>
      <c r="K157" s="1566"/>
      <c r="L157" s="1566"/>
      <c r="M157" s="1566"/>
    </row>
    <row r="158" spans="2:13">
      <c r="D158" s="1566"/>
      <c r="E158" s="1566"/>
      <c r="F158" s="1566"/>
      <c r="G158" s="1566"/>
      <c r="H158" s="1566"/>
      <c r="I158" s="1566"/>
      <c r="J158" s="1566"/>
      <c r="K158" s="1566"/>
      <c r="L158" s="1566"/>
      <c r="M158" s="1566"/>
    </row>
    <row r="159" spans="2:13">
      <c r="D159" s="1566"/>
      <c r="E159" s="1566"/>
      <c r="F159" s="1566"/>
      <c r="G159" s="1566"/>
      <c r="H159" s="1566"/>
      <c r="I159" s="1566"/>
      <c r="J159" s="1566"/>
      <c r="K159" s="1566"/>
      <c r="L159" s="1566"/>
      <c r="M159" s="1566"/>
    </row>
    <row r="160" spans="2:13">
      <c r="C160" s="369" t="s">
        <v>383</v>
      </c>
      <c r="D160" s="1566" t="s">
        <v>420</v>
      </c>
      <c r="E160" s="1566"/>
      <c r="F160" s="1566"/>
      <c r="G160" s="1566"/>
      <c r="H160" s="1566"/>
      <c r="I160" s="1566"/>
      <c r="J160" s="1566"/>
      <c r="K160" s="1566"/>
      <c r="L160" s="1566"/>
      <c r="M160" s="1566"/>
    </row>
    <row r="161" spans="3:13">
      <c r="D161" s="1566"/>
      <c r="E161" s="1566"/>
      <c r="F161" s="1566"/>
      <c r="G161" s="1566"/>
      <c r="H161" s="1566"/>
      <c r="I161" s="1566"/>
      <c r="J161" s="1566"/>
      <c r="K161" s="1566"/>
      <c r="L161" s="1566"/>
      <c r="M161" s="1566"/>
    </row>
    <row r="162" spans="3:13">
      <c r="D162" s="1566"/>
      <c r="E162" s="1566"/>
      <c r="F162" s="1566"/>
      <c r="G162" s="1566"/>
      <c r="H162" s="1566"/>
      <c r="I162" s="1566"/>
      <c r="J162" s="1566"/>
      <c r="K162" s="1566"/>
      <c r="L162" s="1566"/>
      <c r="M162" s="1566"/>
    </row>
    <row r="163" spans="3:13">
      <c r="D163" s="1566"/>
      <c r="E163" s="1566"/>
      <c r="F163" s="1566"/>
      <c r="G163" s="1566"/>
      <c r="H163" s="1566"/>
      <c r="I163" s="1566"/>
      <c r="J163" s="1566"/>
      <c r="K163" s="1566"/>
      <c r="L163" s="1566"/>
      <c r="M163" s="1566"/>
    </row>
    <row r="164" spans="3:13">
      <c r="C164" s="369" t="s">
        <v>383</v>
      </c>
      <c r="D164" s="1563" t="s">
        <v>421</v>
      </c>
      <c r="E164" s="1563"/>
      <c r="F164" s="1563"/>
      <c r="G164" s="1563"/>
      <c r="H164" s="1563"/>
      <c r="I164" s="1563"/>
      <c r="J164" s="1563"/>
      <c r="K164" s="1563"/>
      <c r="L164" s="1563"/>
      <c r="M164" s="1563"/>
    </row>
    <row r="165" spans="3:13">
      <c r="D165" s="1563"/>
      <c r="E165" s="1563"/>
      <c r="F165" s="1563"/>
      <c r="G165" s="1563"/>
      <c r="H165" s="1563"/>
      <c r="I165" s="1563"/>
      <c r="J165" s="1563"/>
      <c r="K165" s="1563"/>
      <c r="L165" s="1563"/>
      <c r="M165" s="1563"/>
    </row>
    <row r="166" spans="3:13">
      <c r="C166" s="369" t="s">
        <v>383</v>
      </c>
      <c r="D166" s="1563" t="s">
        <v>422</v>
      </c>
      <c r="E166" s="1563"/>
      <c r="F166" s="1563"/>
      <c r="G166" s="1563"/>
      <c r="H166" s="1563"/>
      <c r="I166" s="1563"/>
      <c r="J166" s="1563"/>
      <c r="K166" s="1563"/>
      <c r="L166" s="1563"/>
      <c r="M166" s="1563"/>
    </row>
    <row r="167" spans="3:13">
      <c r="D167" s="1563"/>
      <c r="E167" s="1563"/>
      <c r="F167" s="1563"/>
      <c r="G167" s="1563"/>
      <c r="H167" s="1563"/>
      <c r="I167" s="1563"/>
      <c r="J167" s="1563"/>
      <c r="K167" s="1563"/>
      <c r="L167" s="1563"/>
      <c r="M167" s="1563"/>
    </row>
    <row r="168" spans="3:13">
      <c r="C168" s="369" t="s">
        <v>383</v>
      </c>
      <c r="D168" s="1" t="s">
        <v>423</v>
      </c>
    </row>
    <row r="169" spans="3:13">
      <c r="C169" s="369" t="s">
        <v>383</v>
      </c>
      <c r="D169" s="1563" t="s">
        <v>424</v>
      </c>
      <c r="E169" s="1563"/>
      <c r="F169" s="1563"/>
      <c r="G169" s="1563"/>
      <c r="H169" s="1563"/>
      <c r="I169" s="1563"/>
      <c r="J169" s="1563"/>
      <c r="K169" s="1563"/>
      <c r="L169" s="1563"/>
      <c r="M169" s="1563"/>
    </row>
    <row r="170" spans="3:13">
      <c r="D170" s="1563"/>
      <c r="E170" s="1563"/>
      <c r="F170" s="1563"/>
      <c r="G170" s="1563"/>
      <c r="H170" s="1563"/>
      <c r="I170" s="1563"/>
      <c r="J170" s="1563"/>
      <c r="K170" s="1563"/>
      <c r="L170" s="1563"/>
      <c r="M170" s="1563"/>
    </row>
    <row r="171" spans="3:13">
      <c r="C171" s="369" t="s">
        <v>383</v>
      </c>
      <c r="D171" s="1563" t="s">
        <v>425</v>
      </c>
      <c r="E171" s="1563"/>
      <c r="F171" s="1563"/>
      <c r="G171" s="1563"/>
      <c r="H171" s="1563"/>
      <c r="I171" s="1563"/>
      <c r="J171" s="1563"/>
      <c r="K171" s="1563"/>
      <c r="L171" s="1563"/>
      <c r="M171" s="1563"/>
    </row>
    <row r="172" spans="3:13">
      <c r="D172" s="1563"/>
      <c r="E172" s="1563"/>
      <c r="F172" s="1563"/>
      <c r="G172" s="1563"/>
      <c r="H172" s="1563"/>
      <c r="I172" s="1563"/>
      <c r="J172" s="1563"/>
      <c r="K172" s="1563"/>
      <c r="L172" s="1563"/>
      <c r="M172" s="1563"/>
    </row>
    <row r="173" spans="3:13">
      <c r="D173" s="1563"/>
      <c r="E173" s="1563"/>
      <c r="F173" s="1563"/>
      <c r="G173" s="1563"/>
      <c r="H173" s="1563"/>
      <c r="I173" s="1563"/>
      <c r="J173" s="1563"/>
      <c r="K173" s="1563"/>
      <c r="L173" s="1563"/>
      <c r="M173" s="1563"/>
    </row>
    <row r="174" spans="3:13">
      <c r="C174" s="369" t="s">
        <v>383</v>
      </c>
      <c r="D174" s="1563" t="s">
        <v>426</v>
      </c>
      <c r="E174" s="1563"/>
      <c r="F174" s="1563"/>
      <c r="G174" s="1563"/>
      <c r="H174" s="1563"/>
      <c r="I174" s="1563"/>
      <c r="J174" s="1563"/>
      <c r="K174" s="1563"/>
      <c r="L174" s="1563"/>
      <c r="M174" s="1563"/>
    </row>
    <row r="175" spans="3:13">
      <c r="D175" s="1563"/>
      <c r="E175" s="1563"/>
      <c r="F175" s="1563"/>
      <c r="G175" s="1563"/>
      <c r="H175" s="1563"/>
      <c r="I175" s="1563"/>
      <c r="J175" s="1563"/>
      <c r="K175" s="1563"/>
      <c r="L175" s="1563"/>
      <c r="M175" s="1563"/>
    </row>
    <row r="176" spans="3:13">
      <c r="D176" s="1563"/>
      <c r="E176" s="1563"/>
      <c r="F176" s="1563"/>
      <c r="G176" s="1563"/>
      <c r="H176" s="1563"/>
      <c r="I176" s="1563"/>
      <c r="J176" s="1563"/>
      <c r="K176" s="1563"/>
      <c r="L176" s="1563"/>
      <c r="M176" s="1563"/>
    </row>
    <row r="177" spans="2:14">
      <c r="D177" s="1563"/>
      <c r="E177" s="1563"/>
      <c r="F177" s="1563"/>
      <c r="G177" s="1563"/>
      <c r="H177" s="1563"/>
      <c r="I177" s="1563"/>
      <c r="J177" s="1563"/>
      <c r="K177" s="1563"/>
      <c r="L177" s="1563"/>
      <c r="M177" s="1563"/>
    </row>
    <row r="178" spans="2:14">
      <c r="C178" s="369" t="s">
        <v>383</v>
      </c>
      <c r="D178" s="1563" t="s">
        <v>427</v>
      </c>
      <c r="E178" s="1563"/>
      <c r="F178" s="1563"/>
      <c r="G178" s="1563"/>
      <c r="H178" s="1563"/>
      <c r="I178" s="1563"/>
      <c r="J178" s="1563"/>
      <c r="K178" s="1563"/>
      <c r="L178" s="1563"/>
      <c r="M178" s="1563"/>
    </row>
    <row r="179" spans="2:14">
      <c r="D179" s="1563"/>
      <c r="E179" s="1563"/>
      <c r="F179" s="1563"/>
      <c r="G179" s="1563"/>
      <c r="H179" s="1563"/>
      <c r="I179" s="1563"/>
      <c r="J179" s="1563"/>
      <c r="K179" s="1563"/>
      <c r="L179" s="1563"/>
      <c r="M179" s="1563"/>
    </row>
    <row r="180" spans="2:14">
      <c r="C180" s="361"/>
    </row>
    <row r="181" spans="2:14">
      <c r="B181" s="1559" t="s">
        <v>622</v>
      </c>
      <c r="C181" s="369" t="s">
        <v>383</v>
      </c>
      <c r="D181" s="1561" t="s">
        <v>577</v>
      </c>
      <c r="E181" s="1561"/>
      <c r="F181" s="1561"/>
      <c r="G181" s="1561"/>
      <c r="H181" s="1561"/>
      <c r="I181" s="1561"/>
      <c r="J181" s="1561"/>
      <c r="K181" s="1561"/>
      <c r="L181" s="1561"/>
      <c r="M181" s="1561"/>
    </row>
    <row r="182" spans="2:14">
      <c r="B182" s="1560"/>
      <c r="D182" s="1562"/>
      <c r="E182" s="1562"/>
      <c r="F182" s="1562"/>
      <c r="G182" s="1562"/>
      <c r="H182" s="1562"/>
      <c r="I182" s="1562"/>
      <c r="J182" s="1562"/>
      <c r="K182" s="1562"/>
      <c r="L182" s="1562"/>
      <c r="M182" s="1562"/>
    </row>
    <row r="183" spans="2:14">
      <c r="B183" s="1560"/>
      <c r="D183" s="1562"/>
      <c r="E183" s="1562"/>
      <c r="F183" s="1562"/>
      <c r="G183" s="1562"/>
      <c r="H183" s="1562"/>
      <c r="I183" s="1562"/>
      <c r="J183" s="1562"/>
      <c r="K183" s="1562"/>
      <c r="L183" s="1562"/>
      <c r="M183" s="1562"/>
    </row>
    <row r="184" spans="2:14">
      <c r="D184" s="1562"/>
      <c r="E184" s="1562"/>
      <c r="F184" s="1562"/>
      <c r="G184" s="1562"/>
      <c r="H184" s="1562"/>
      <c r="I184" s="1562"/>
      <c r="J184" s="1562"/>
      <c r="K184" s="1562"/>
      <c r="L184" s="1562"/>
      <c r="M184" s="1562"/>
    </row>
    <row r="185" spans="2:14">
      <c r="C185" s="369" t="s">
        <v>383</v>
      </c>
      <c r="D185" s="1" t="s">
        <v>586</v>
      </c>
    </row>
    <row r="186" spans="2:14">
      <c r="C186" s="369" t="s">
        <v>383</v>
      </c>
      <c r="D186" s="1" t="s">
        <v>578</v>
      </c>
    </row>
    <row r="187" spans="2:14" ht="15.75">
      <c r="C187" s="369" t="s">
        <v>383</v>
      </c>
      <c r="D187" s="1" t="s">
        <v>579</v>
      </c>
      <c r="N187"/>
    </row>
    <row r="188" spans="2:14">
      <c r="C188" s="369" t="s">
        <v>383</v>
      </c>
      <c r="D188" s="1" t="s">
        <v>580</v>
      </c>
    </row>
    <row r="189" spans="2:14">
      <c r="C189" s="369" t="s">
        <v>383</v>
      </c>
      <c r="D189" s="1" t="s">
        <v>581</v>
      </c>
    </row>
    <row r="190" spans="2:14">
      <c r="C190" s="369" t="s">
        <v>383</v>
      </c>
      <c r="D190" s="1" t="s">
        <v>582</v>
      </c>
    </row>
    <row r="191" spans="2:14">
      <c r="C191" s="369" t="s">
        <v>383</v>
      </c>
      <c r="D191" s="1" t="s">
        <v>583</v>
      </c>
    </row>
    <row r="192" spans="2:14">
      <c r="C192" s="369" t="s">
        <v>383</v>
      </c>
      <c r="D192" s="1563" t="s">
        <v>584</v>
      </c>
      <c r="E192" s="1563"/>
      <c r="F192" s="1563"/>
      <c r="G192" s="1563"/>
      <c r="H192" s="1563"/>
      <c r="I192" s="1563"/>
      <c r="J192" s="1563"/>
      <c r="K192" s="1563"/>
      <c r="L192" s="1563"/>
      <c r="M192" s="1563"/>
    </row>
    <row r="193" spans="2:15">
      <c r="D193" s="1563"/>
      <c r="E193" s="1563"/>
      <c r="F193" s="1563"/>
      <c r="G193" s="1563"/>
      <c r="H193" s="1563"/>
      <c r="I193" s="1563"/>
      <c r="J193" s="1563"/>
      <c r="K193" s="1563"/>
      <c r="L193" s="1563"/>
      <c r="M193" s="1563"/>
    </row>
    <row r="194" spans="2:15" ht="15" customHeight="1">
      <c r="C194" s="369" t="s">
        <v>383</v>
      </c>
      <c r="D194" s="1563" t="s">
        <v>585</v>
      </c>
      <c r="E194" s="1563"/>
      <c r="F194" s="1563"/>
      <c r="G194" s="1563"/>
      <c r="H194" s="1563"/>
      <c r="I194" s="1563"/>
      <c r="J194" s="1563"/>
      <c r="K194" s="1563"/>
      <c r="L194" s="1563"/>
      <c r="M194" s="1563"/>
    </row>
    <row r="195" spans="2:15">
      <c r="D195" s="1563"/>
      <c r="E195" s="1563"/>
      <c r="F195" s="1563"/>
      <c r="G195" s="1563"/>
      <c r="H195" s="1563"/>
      <c r="I195" s="1563"/>
      <c r="J195" s="1563"/>
      <c r="K195" s="1563"/>
      <c r="L195" s="1563"/>
      <c r="M195" s="1563"/>
    </row>
    <row r="196" spans="2:15">
      <c r="B196" s="361"/>
      <c r="C196" s="361"/>
      <c r="D196" s="361"/>
      <c r="E196" s="361"/>
      <c r="F196" s="361"/>
      <c r="G196" s="361"/>
      <c r="H196" s="361"/>
      <c r="I196" s="361"/>
      <c r="J196" s="361"/>
      <c r="K196" s="361"/>
      <c r="L196" s="361"/>
      <c r="M196" s="361"/>
    </row>
    <row r="197" spans="2:15" ht="15" customHeight="1">
      <c r="B197" s="1573" t="s">
        <v>644</v>
      </c>
      <c r="C197" s="369" t="s">
        <v>383</v>
      </c>
      <c r="D197" s="1570" t="s">
        <v>643</v>
      </c>
      <c r="E197" s="1570"/>
      <c r="F197" s="1570"/>
      <c r="G197" s="1570"/>
      <c r="H197" s="1570"/>
      <c r="I197" s="1570"/>
      <c r="J197" s="1570"/>
      <c r="K197" s="1570"/>
      <c r="L197" s="1570"/>
      <c r="M197" s="1570"/>
    </row>
    <row r="198" spans="2:15" ht="15" customHeight="1">
      <c r="B198" s="1574"/>
      <c r="D198" s="1571"/>
      <c r="E198" s="1571"/>
      <c r="F198" s="1571"/>
      <c r="G198" s="1571"/>
      <c r="H198" s="1571"/>
      <c r="I198" s="1571"/>
      <c r="J198" s="1571"/>
      <c r="K198" s="1571"/>
      <c r="L198" s="1571"/>
      <c r="M198" s="1571"/>
    </row>
    <row r="199" spans="2:15" ht="15" customHeight="1">
      <c r="B199" s="1574"/>
      <c r="D199" s="1571"/>
      <c r="E199" s="1571"/>
      <c r="F199" s="1571"/>
      <c r="G199" s="1571"/>
      <c r="H199" s="1571"/>
      <c r="I199" s="1571"/>
      <c r="J199" s="1571"/>
      <c r="K199" s="1571"/>
      <c r="L199" s="1571"/>
      <c r="M199" s="1571"/>
    </row>
    <row r="200" spans="2:15" ht="15" customHeight="1">
      <c r="D200" s="1571"/>
      <c r="E200" s="1571"/>
      <c r="F200" s="1571"/>
      <c r="G200" s="1571"/>
      <c r="H200" s="1571"/>
      <c r="I200" s="1571"/>
      <c r="J200" s="1571"/>
      <c r="K200" s="1571"/>
      <c r="L200" s="1571"/>
      <c r="M200" s="1571"/>
    </row>
    <row r="201" spans="2:15">
      <c r="D201" s="1571"/>
      <c r="E201" s="1571"/>
      <c r="F201" s="1571"/>
      <c r="G201" s="1571"/>
      <c r="H201" s="1571"/>
      <c r="I201" s="1571"/>
      <c r="J201" s="1571"/>
      <c r="K201" s="1571"/>
      <c r="L201" s="1571"/>
      <c r="M201" s="1571"/>
    </row>
    <row r="202" spans="2:15">
      <c r="D202" s="1571"/>
      <c r="E202" s="1571"/>
      <c r="F202" s="1571"/>
      <c r="G202" s="1571"/>
      <c r="H202" s="1571"/>
      <c r="I202" s="1571"/>
      <c r="J202" s="1571"/>
      <c r="K202" s="1571"/>
      <c r="L202" s="1571"/>
      <c r="M202" s="1571"/>
    </row>
    <row r="203" spans="2:15">
      <c r="D203" s="1571"/>
      <c r="E203" s="1571"/>
      <c r="F203" s="1571"/>
      <c r="G203" s="1571"/>
      <c r="H203" s="1571"/>
      <c r="I203" s="1571"/>
      <c r="J203" s="1571"/>
      <c r="K203" s="1571"/>
      <c r="L203" s="1571"/>
      <c r="M203" s="1571"/>
    </row>
    <row r="204" spans="2:15">
      <c r="D204" s="1571"/>
      <c r="E204" s="1571"/>
      <c r="F204" s="1571"/>
      <c r="G204" s="1571"/>
      <c r="H204" s="1571"/>
      <c r="I204" s="1571"/>
      <c r="J204" s="1571"/>
      <c r="K204" s="1571"/>
      <c r="L204" s="1571"/>
      <c r="M204" s="1571"/>
    </row>
    <row r="205" spans="2:15">
      <c r="D205" s="1571"/>
      <c r="E205" s="1571"/>
      <c r="F205" s="1571"/>
      <c r="G205" s="1571"/>
      <c r="H205" s="1571"/>
      <c r="I205" s="1571"/>
      <c r="J205" s="1571"/>
      <c r="K205" s="1571"/>
      <c r="L205" s="1571"/>
      <c r="M205" s="1571"/>
    </row>
    <row r="206" spans="2:15" ht="15.75">
      <c r="D206" s="1571"/>
      <c r="E206" s="1571"/>
      <c r="F206" s="1571"/>
      <c r="G206" s="1571"/>
      <c r="H206" s="1571"/>
      <c r="I206" s="1571"/>
      <c r="J206" s="1571"/>
      <c r="K206" s="1571"/>
      <c r="L206" s="1571"/>
      <c r="M206" s="1571"/>
      <c r="O206"/>
    </row>
    <row r="207" spans="2:15">
      <c r="D207" s="1571"/>
      <c r="E207" s="1571"/>
      <c r="F207" s="1571"/>
      <c r="G207" s="1571"/>
      <c r="H207" s="1571"/>
      <c r="I207" s="1571"/>
      <c r="J207" s="1571"/>
      <c r="K207" s="1571"/>
      <c r="L207" s="1571"/>
      <c r="M207" s="1571"/>
    </row>
    <row r="208" spans="2:15">
      <c r="D208" s="1571"/>
      <c r="E208" s="1571"/>
      <c r="F208" s="1571"/>
      <c r="G208" s="1571"/>
      <c r="H208" s="1571"/>
      <c r="I208" s="1571"/>
      <c r="J208" s="1571"/>
      <c r="K208" s="1571"/>
      <c r="L208" s="1571"/>
      <c r="M208" s="1571"/>
    </row>
    <row r="209" spans="4:13">
      <c r="D209" s="392"/>
      <c r="E209" s="392"/>
      <c r="F209" s="392"/>
      <c r="G209" s="392"/>
      <c r="H209" s="392"/>
      <c r="I209" s="392"/>
      <c r="J209" s="392"/>
      <c r="K209" s="392"/>
      <c r="L209" s="392"/>
      <c r="M209" s="392"/>
    </row>
    <row r="210" spans="4:13">
      <c r="D210" s="392"/>
      <c r="E210" s="392"/>
      <c r="F210" s="392"/>
      <c r="G210" s="392"/>
      <c r="H210" s="392"/>
      <c r="I210" s="392"/>
      <c r="J210" s="392"/>
      <c r="K210" s="392"/>
      <c r="L210" s="392"/>
      <c r="M210" s="392"/>
    </row>
  </sheetData>
  <customSheetViews>
    <customSheetView guid="{FBB3E572-A647-4B8C-96C7-F43FE4F7CAA8}" scale="120" showPageBreaks="1" printArea="1" view="pageBreakPreview">
      <selection activeCell="N11" sqref="N11"/>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1"/>
    </customSheetView>
    <customSheetView guid="{900EF7B2-0D63-4DE2-9CFC-2D2B3788802C}" scale="120" showPageBreaks="1" printArea="1" view="pageBreakPreview" topLeftCell="A190">
      <selection activeCell="N11" sqref="N11"/>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2"/>
    </customSheetView>
    <customSheetView guid="{CC6D6007-EFDE-464F-BD7C-A67043AC5D5C}" scale="120" showPageBreaks="1" printArea="1" view="pageBreakPreview" topLeftCell="A190">
      <selection activeCell="B197" sqref="B197:B199"/>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3"/>
    </customSheetView>
    <customSheetView guid="{C0FE86CC-5BB4-4265-957F-F51B909B3E81}" scale="120" showPageBreaks="1" printArea="1" view="pageBreakPreview" topLeftCell="A43">
      <selection activeCell="N11" sqref="N11"/>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4"/>
    </customSheetView>
  </customSheetViews>
  <mergeCells count="44">
    <mergeCell ref="B59:B60"/>
    <mergeCell ref="D59:M61"/>
    <mergeCell ref="D62:M66"/>
    <mergeCell ref="D67:M69"/>
    <mergeCell ref="D197:M208"/>
    <mergeCell ref="B197:B199"/>
    <mergeCell ref="B71:B72"/>
    <mergeCell ref="D156:M159"/>
    <mergeCell ref="D120:M122"/>
    <mergeCell ref="D123:M125"/>
    <mergeCell ref="D126:M127"/>
    <mergeCell ref="D128:M132"/>
    <mergeCell ref="D134:M136"/>
    <mergeCell ref="D141:M145"/>
    <mergeCell ref="D147:M155"/>
    <mergeCell ref="D97:M98"/>
    <mergeCell ref="D99:M100"/>
    <mergeCell ref="D102:M110"/>
    <mergeCell ref="B76:B77"/>
    <mergeCell ref="B90:B92"/>
    <mergeCell ref="D35:M35"/>
    <mergeCell ref="D72:M72"/>
    <mergeCell ref="D73:M73"/>
    <mergeCell ref="D74:M74"/>
    <mergeCell ref="D95:M96"/>
    <mergeCell ref="D76:M77"/>
    <mergeCell ref="D79:M89"/>
    <mergeCell ref="D90:M92"/>
    <mergeCell ref="D93:M94"/>
    <mergeCell ref="D41:M44"/>
    <mergeCell ref="D45:M49"/>
    <mergeCell ref="D51:M57"/>
    <mergeCell ref="B181:B183"/>
    <mergeCell ref="D181:M184"/>
    <mergeCell ref="D192:M193"/>
    <mergeCell ref="D194:M195"/>
    <mergeCell ref="B147:B148"/>
    <mergeCell ref="D174:M177"/>
    <mergeCell ref="D178:M179"/>
    <mergeCell ref="D160:M163"/>
    <mergeCell ref="D164:M165"/>
    <mergeCell ref="D166:M167"/>
    <mergeCell ref="D169:M170"/>
    <mergeCell ref="D171:M173"/>
  </mergeCells>
  <hyperlinks>
    <hyperlink ref="B26" location="HotRock!A1" display="НOTROCK"/>
    <hyperlink ref="B34" location="ISOROC!A1" display="ISOROCK"/>
    <hyperlink ref="B71:B72" location="'профили ГКЛ'!A1" display="ПРОФИЛИ ГКЛ"/>
    <hyperlink ref="B76:B77" location="'профили НВФ'!A1" display="ПРОФИЛИ НВФ"/>
    <hyperlink ref="B79" location="'ИЗМ''ИЗО''ИЗТ'!A1" display="ИЗО/ИЗМ"/>
    <hyperlink ref="B90:B93" location="'плёнки''всп.п-эн'!A1" display="Пленки Вспененый полиэтилен"/>
    <hyperlink ref="B102" location="'ГКЛ''OSB''МДВП'!A1" display="ГКЛ/OSB"/>
    <hyperlink ref="B120" location="рубероид!A1" display="Рубероид"/>
    <hyperlink ref="B134" location="'ПСБ''XPS'!A1" display="ПСБ/XPS"/>
    <hyperlink ref="B147" location="смеси!A1" display="Смеси"/>
    <hyperlink ref="B147:B148" location="'смеси''грунтовки'!R1C1" display="Смеси/грунтовки"/>
    <hyperlink ref="B181:B183" location="docke!R1C1" display="Гибкая черепица docke PIE"/>
    <hyperlink ref="B197:B198" location="'мастики''битумы'!R1C1" display="Мастики, Битумы, Праймеры"/>
    <hyperlink ref="B41" location="IZOVOL!R1C1" display="IZOVOL"/>
    <hyperlink ref="B51" location="ROCKWOOL!R1C1" display="ROCKWOOL"/>
    <hyperlink ref="B59:B60" location="техноНИКОЛЬ!R1C1" display="техноНИКОЛЬ!R1C1"/>
  </hyperlinks>
  <pageMargins left="0.47244094488188981" right="0.27559055118110237" top="0.35433070866141736" bottom="0.35433070866141736" header="0.31496062992125984" footer="0.31496062992125984"/>
  <pageSetup paperSize="9" scale="64" fitToHeight="4" orientation="portrait" verticalDpi="0" r:id="rId5"/>
  <rowBreaks count="2" manualBreakCount="2">
    <brk id="75" max="16" man="1"/>
    <brk id="159" max="16" man="1"/>
  </rowBreaks>
  <drawing r:id="rId6"/>
</worksheet>
</file>

<file path=xl/worksheets/sheet10.xml><?xml version="1.0" encoding="utf-8"?>
<worksheet xmlns="http://schemas.openxmlformats.org/spreadsheetml/2006/main" xmlns:r="http://schemas.openxmlformats.org/officeDocument/2006/relationships">
  <sheetPr codeName="Лист6">
    <tabColor rgb="FF00B050"/>
    <pageSetUpPr fitToPage="1"/>
  </sheetPr>
  <dimension ref="B1:I675"/>
  <sheetViews>
    <sheetView view="pageBreakPreview" zoomScaleSheetLayoutView="100" workbookViewId="0">
      <pane ySplit="4" topLeftCell="A14" activePane="bottomLeft" state="frozen"/>
      <selection pane="bottomLeft" activeCell="J43" sqref="J43"/>
    </sheetView>
  </sheetViews>
  <sheetFormatPr defaultRowHeight="15"/>
  <cols>
    <col min="1" max="1" width="0.42578125" style="1" customWidth="1"/>
    <col min="2" max="2" width="42.5703125" style="49" customWidth="1"/>
    <col min="3" max="3" width="8.7109375" style="41" bestFit="1" customWidth="1"/>
    <col min="4" max="4" width="10.7109375" style="74" customWidth="1"/>
    <col min="5" max="5" width="10" style="2" bestFit="1" customWidth="1"/>
    <col min="6" max="6" width="11.140625" style="81" customWidth="1"/>
    <col min="7" max="7" width="3.140625" style="65" hidden="1" customWidth="1"/>
    <col min="8" max="8" width="10.28515625" style="46" hidden="1" customWidth="1"/>
    <col min="9" max="9" width="0.140625" style="76" customWidth="1"/>
    <col min="10" max="10" width="0.42578125" style="1" customWidth="1"/>
    <col min="11" max="11" width="9.140625" style="1" customWidth="1"/>
    <col min="12" max="16384" width="9.140625" style="1"/>
  </cols>
  <sheetData>
    <row r="1" spans="2:9" ht="0.75" customHeight="1">
      <c r="B1" s="82"/>
      <c r="C1" s="149"/>
      <c r="D1" s="83"/>
      <c r="E1" s="84"/>
      <c r="F1" s="84"/>
    </row>
    <row r="2" spans="2:9" ht="15.75" thickBot="1">
      <c r="B2" s="82" t="s">
        <v>870</v>
      </c>
      <c r="C2" s="149"/>
      <c r="D2" s="83"/>
      <c r="E2" s="84"/>
      <c r="F2" s="84"/>
    </row>
    <row r="3" spans="2:9" s="40" customFormat="1" ht="18" customHeight="1" thickBot="1">
      <c r="B3" s="1655" t="s">
        <v>158</v>
      </c>
      <c r="C3" s="1661" t="s">
        <v>186</v>
      </c>
      <c r="D3" s="1659" t="s">
        <v>248</v>
      </c>
      <c r="E3" s="1663"/>
      <c r="F3" s="1663"/>
      <c r="G3" s="70"/>
      <c r="H3" s="1664" t="s">
        <v>196</v>
      </c>
      <c r="I3" s="1658" t="s">
        <v>250</v>
      </c>
    </row>
    <row r="4" spans="2:9" s="40" customFormat="1" ht="18" customHeight="1" thickBot="1">
      <c r="B4" s="1657"/>
      <c r="C4" s="1662"/>
      <c r="D4" s="1660"/>
      <c r="E4" s="158" t="s">
        <v>156</v>
      </c>
      <c r="F4" s="158" t="s">
        <v>195</v>
      </c>
      <c r="G4" s="70"/>
      <c r="H4" s="1664"/>
      <c r="I4" s="1658"/>
    </row>
    <row r="5" spans="2:9" s="64" customFormat="1" ht="15.75" customHeight="1" thickBot="1">
      <c r="B5" s="639" t="s">
        <v>246</v>
      </c>
      <c r="C5" s="640"/>
      <c r="D5" s="641"/>
      <c r="E5" s="640"/>
      <c r="F5" s="640"/>
      <c r="G5" s="66"/>
      <c r="H5" s="69"/>
      <c r="I5" s="77"/>
    </row>
    <row r="6" spans="2:9" s="64" customFormat="1">
      <c r="B6" s="624" t="s">
        <v>211</v>
      </c>
      <c r="C6" s="625" t="s">
        <v>215</v>
      </c>
      <c r="D6" s="626"/>
      <c r="E6" s="627">
        <f t="shared" ref="E6:E9" si="0">H6*1.15</f>
        <v>289.79999999999995</v>
      </c>
      <c r="F6" s="628">
        <f t="shared" ref="F6:F9" si="1">H6*1.1</f>
        <v>277.20000000000005</v>
      </c>
      <c r="G6" s="66"/>
      <c r="H6" s="69">
        <f t="shared" ref="H6:H9" si="2">I6*1.05</f>
        <v>252</v>
      </c>
      <c r="I6" s="77">
        <v>240</v>
      </c>
    </row>
    <row r="7" spans="2:9" s="64" customFormat="1">
      <c r="B7" s="629" t="s">
        <v>212</v>
      </c>
      <c r="C7" s="630" t="s">
        <v>215</v>
      </c>
      <c r="D7" s="631"/>
      <c r="E7" s="632">
        <f t="shared" si="0"/>
        <v>326.02499999999998</v>
      </c>
      <c r="F7" s="633">
        <f t="shared" si="1"/>
        <v>311.85000000000002</v>
      </c>
      <c r="G7" s="66"/>
      <c r="H7" s="69">
        <f t="shared" si="2"/>
        <v>283.5</v>
      </c>
      <c r="I7" s="77">
        <v>270</v>
      </c>
    </row>
    <row r="8" spans="2:9" s="64" customFormat="1">
      <c r="B8" s="629" t="s">
        <v>213</v>
      </c>
      <c r="C8" s="630" t="s">
        <v>215</v>
      </c>
      <c r="D8" s="631"/>
      <c r="E8" s="632">
        <f t="shared" si="0"/>
        <v>333.27</v>
      </c>
      <c r="F8" s="633">
        <f t="shared" si="1"/>
        <v>318.78000000000003</v>
      </c>
      <c r="G8" s="66"/>
      <c r="H8" s="69">
        <f t="shared" si="2"/>
        <v>289.8</v>
      </c>
      <c r="I8" s="77">
        <v>276</v>
      </c>
    </row>
    <row r="9" spans="2:9" s="64" customFormat="1" ht="15.75" thickBot="1">
      <c r="B9" s="634" t="s">
        <v>214</v>
      </c>
      <c r="C9" s="635" t="s">
        <v>215</v>
      </c>
      <c r="D9" s="636"/>
      <c r="E9" s="637">
        <f t="shared" si="0"/>
        <v>344.13749999999999</v>
      </c>
      <c r="F9" s="638">
        <f t="shared" si="1"/>
        <v>329.17500000000001</v>
      </c>
      <c r="G9" s="66"/>
      <c r="H9" s="69">
        <f t="shared" si="2"/>
        <v>299.25</v>
      </c>
      <c r="I9" s="77">
        <v>285</v>
      </c>
    </row>
    <row r="10" spans="2:9" s="64" customFormat="1" ht="15.75" customHeight="1" thickBot="1">
      <c r="B10" s="153" t="s">
        <v>247</v>
      </c>
      <c r="C10" s="151"/>
      <c r="D10" s="228"/>
      <c r="E10" s="151"/>
      <c r="F10" s="151"/>
      <c r="G10" s="66"/>
      <c r="H10" s="69"/>
      <c r="I10" s="77"/>
    </row>
    <row r="11" spans="2:9" s="64" customFormat="1">
      <c r="B11" s="115" t="s">
        <v>251</v>
      </c>
      <c r="C11" s="145" t="s">
        <v>215</v>
      </c>
      <c r="D11" s="229" t="s">
        <v>249</v>
      </c>
      <c r="E11" s="160">
        <f>H11*1.15</f>
        <v>223.88788799999998</v>
      </c>
      <c r="F11" s="176">
        <f>H11*1.1</f>
        <v>214.15363199999999</v>
      </c>
      <c r="G11" s="66"/>
      <c r="H11" s="654">
        <f>I11*1.05</f>
        <v>194.68511999999998</v>
      </c>
      <c r="I11" s="655">
        <f>156.6*1.184</f>
        <v>185.41439999999997</v>
      </c>
    </row>
    <row r="12" spans="2:9" s="64" customFormat="1">
      <c r="B12" s="116" t="s">
        <v>252</v>
      </c>
      <c r="C12" s="146" t="s">
        <v>215</v>
      </c>
      <c r="D12" s="73" t="s">
        <v>249</v>
      </c>
      <c r="E12" s="180">
        <f t="shared" ref="E12:E18" si="3">H12*1.15</f>
        <v>351.41534399999995</v>
      </c>
      <c r="F12" s="181">
        <f t="shared" ref="F12:F18" si="4">H12*1.1</f>
        <v>336.136416</v>
      </c>
      <c r="G12" s="66"/>
      <c r="H12" s="656">
        <f t="shared" ref="H12:H18" si="5">I12*1.05</f>
        <v>305.57855999999998</v>
      </c>
      <c r="I12" s="657">
        <f>245.8*1.184</f>
        <v>291.02719999999999</v>
      </c>
    </row>
    <row r="13" spans="2:9" s="64" customFormat="1">
      <c r="B13" s="116" t="s">
        <v>253</v>
      </c>
      <c r="C13" s="146" t="s">
        <v>215</v>
      </c>
      <c r="D13" s="72" t="s">
        <v>98</v>
      </c>
      <c r="E13" s="180">
        <f t="shared" si="3"/>
        <v>243.90340799999998</v>
      </c>
      <c r="F13" s="181">
        <f t="shared" si="4"/>
        <v>233.29891200000003</v>
      </c>
      <c r="G13" s="66"/>
      <c r="H13" s="656">
        <f t="shared" si="5"/>
        <v>212.08992000000001</v>
      </c>
      <c r="I13" s="657">
        <f>170.6*1.184</f>
        <v>201.99039999999999</v>
      </c>
    </row>
    <row r="14" spans="2:9" s="64" customFormat="1">
      <c r="B14" s="116" t="s">
        <v>254</v>
      </c>
      <c r="C14" s="146" t="s">
        <v>215</v>
      </c>
      <c r="D14" s="73" t="s">
        <v>98</v>
      </c>
      <c r="E14" s="180">
        <f t="shared" si="3"/>
        <v>368.28556800000001</v>
      </c>
      <c r="F14" s="181">
        <f t="shared" si="4"/>
        <v>352.2731520000001</v>
      </c>
      <c r="G14" s="66"/>
      <c r="H14" s="656">
        <f t="shared" si="5"/>
        <v>320.24832000000004</v>
      </c>
      <c r="I14" s="657">
        <f>257.6*1.184</f>
        <v>304.9984</v>
      </c>
    </row>
    <row r="15" spans="2:9" s="64" customFormat="1">
      <c r="B15" s="116" t="s">
        <v>255</v>
      </c>
      <c r="C15" s="146" t="s">
        <v>215</v>
      </c>
      <c r="D15" s="72" t="s">
        <v>259</v>
      </c>
      <c r="E15" s="180">
        <f t="shared" si="3"/>
        <v>354.13173599999993</v>
      </c>
      <c r="F15" s="181">
        <f t="shared" si="4"/>
        <v>338.73470400000002</v>
      </c>
      <c r="G15" s="66"/>
      <c r="H15" s="656">
        <f t="shared" si="5"/>
        <v>307.94063999999997</v>
      </c>
      <c r="I15" s="657">
        <f>247.7*1.184</f>
        <v>293.27679999999998</v>
      </c>
    </row>
    <row r="16" spans="2:9" s="64" customFormat="1">
      <c r="B16" s="116" t="s">
        <v>256</v>
      </c>
      <c r="C16" s="146" t="s">
        <v>215</v>
      </c>
      <c r="D16" s="72" t="s">
        <v>259</v>
      </c>
      <c r="E16" s="180">
        <f t="shared" si="3"/>
        <v>453.35152799999997</v>
      </c>
      <c r="F16" s="181">
        <f t="shared" si="4"/>
        <v>433.64059200000008</v>
      </c>
      <c r="G16" s="66"/>
      <c r="H16" s="656">
        <f t="shared" si="5"/>
        <v>394.21872000000002</v>
      </c>
      <c r="I16" s="657">
        <f>317.1*1.184</f>
        <v>375.44639999999998</v>
      </c>
    </row>
    <row r="17" spans="2:9" s="64" customFormat="1">
      <c r="B17" s="116" t="s">
        <v>257</v>
      </c>
      <c r="C17" s="146" t="s">
        <v>215</v>
      </c>
      <c r="D17" s="72" t="s">
        <v>98</v>
      </c>
      <c r="E17" s="180">
        <f t="shared" si="3"/>
        <v>307.38119999999998</v>
      </c>
      <c r="F17" s="181">
        <f t="shared" si="4"/>
        <v>294.01680000000005</v>
      </c>
      <c r="G17" s="66"/>
      <c r="H17" s="656">
        <f t="shared" si="5"/>
        <v>267.28800000000001</v>
      </c>
      <c r="I17" s="657">
        <f>215*1.184</f>
        <v>254.55999999999997</v>
      </c>
    </row>
    <row r="18" spans="2:9" s="64" customFormat="1" ht="15.75" thickBot="1">
      <c r="B18" s="117" t="s">
        <v>258</v>
      </c>
      <c r="C18" s="148" t="s">
        <v>215</v>
      </c>
      <c r="D18" s="127" t="s">
        <v>98</v>
      </c>
      <c r="E18" s="232">
        <f t="shared" si="3"/>
        <v>464.07412799999997</v>
      </c>
      <c r="F18" s="233">
        <f t="shared" si="4"/>
        <v>443.89699200000007</v>
      </c>
      <c r="G18" s="66"/>
      <c r="H18" s="658">
        <f t="shared" si="5"/>
        <v>403.54272000000003</v>
      </c>
      <c r="I18" s="659">
        <f>324.6*1.184</f>
        <v>384.32640000000004</v>
      </c>
    </row>
    <row r="19" spans="2:9" s="64" customFormat="1" ht="15.75" customHeight="1" thickBot="1">
      <c r="B19" s="813" t="s">
        <v>450</v>
      </c>
      <c r="C19" s="814"/>
      <c r="D19" s="815"/>
      <c r="E19" s="814"/>
      <c r="F19" s="814"/>
      <c r="G19" s="66"/>
      <c r="H19" s="69"/>
      <c r="I19" s="77"/>
    </row>
    <row r="20" spans="2:9" s="64" customFormat="1">
      <c r="B20" s="816" t="s">
        <v>451</v>
      </c>
      <c r="C20" s="817" t="s">
        <v>215</v>
      </c>
      <c r="D20" s="818"/>
      <c r="E20" s="819">
        <f>H20*1.15</f>
        <v>220.9725</v>
      </c>
      <c r="F20" s="820">
        <f>H20*1.1</f>
        <v>211.36500000000004</v>
      </c>
      <c r="G20" s="66"/>
      <c r="H20" s="69">
        <f>I20*1.05</f>
        <v>192.15</v>
      </c>
      <c r="I20" s="77">
        <v>183</v>
      </c>
    </row>
    <row r="21" spans="2:9" s="64" customFormat="1">
      <c r="B21" s="821" t="s">
        <v>452</v>
      </c>
      <c r="C21" s="822" t="s">
        <v>215</v>
      </c>
      <c r="D21" s="823"/>
      <c r="E21" s="824">
        <f t="shared" ref="E21:E24" si="6">H21*1.15</f>
        <v>240.29249999999999</v>
      </c>
      <c r="F21" s="825">
        <f t="shared" ref="F21:F24" si="7">H21*1.1</f>
        <v>229.84500000000003</v>
      </c>
      <c r="G21" s="66"/>
      <c r="H21" s="69">
        <f t="shared" ref="H21:H24" si="8">I21*1.05</f>
        <v>208.95000000000002</v>
      </c>
      <c r="I21" s="77">
        <v>199</v>
      </c>
    </row>
    <row r="22" spans="2:9" s="64" customFormat="1">
      <c r="B22" s="821" t="s">
        <v>453</v>
      </c>
      <c r="C22" s="822" t="s">
        <v>215</v>
      </c>
      <c r="D22" s="826"/>
      <c r="E22" s="824">
        <f t="shared" si="6"/>
        <v>338.09999999999997</v>
      </c>
      <c r="F22" s="825">
        <f t="shared" si="7"/>
        <v>323.40000000000003</v>
      </c>
      <c r="G22" s="66"/>
      <c r="H22" s="69">
        <f t="shared" si="8"/>
        <v>294</v>
      </c>
      <c r="I22" s="77">
        <v>280</v>
      </c>
    </row>
    <row r="23" spans="2:9" s="64" customFormat="1">
      <c r="B23" s="821" t="s">
        <v>454</v>
      </c>
      <c r="C23" s="822" t="s">
        <v>215</v>
      </c>
      <c r="D23" s="823"/>
      <c r="E23" s="824">
        <f t="shared" si="6"/>
        <v>359.83500000000004</v>
      </c>
      <c r="F23" s="825">
        <f t="shared" si="7"/>
        <v>344.19000000000005</v>
      </c>
      <c r="G23" s="66"/>
      <c r="H23" s="69">
        <f t="shared" si="8"/>
        <v>312.90000000000003</v>
      </c>
      <c r="I23" s="77">
        <v>298</v>
      </c>
    </row>
    <row r="24" spans="2:9" s="64" customFormat="1" ht="15.75" thickBot="1">
      <c r="B24" s="827" t="s">
        <v>455</v>
      </c>
      <c r="C24" s="828" t="s">
        <v>215</v>
      </c>
      <c r="D24" s="829"/>
      <c r="E24" s="830">
        <f t="shared" si="6"/>
        <v>427.45499999999993</v>
      </c>
      <c r="F24" s="831">
        <f t="shared" si="7"/>
        <v>408.87</v>
      </c>
      <c r="G24" s="66"/>
      <c r="H24" s="69">
        <f t="shared" si="8"/>
        <v>371.7</v>
      </c>
      <c r="I24" s="77">
        <v>354</v>
      </c>
    </row>
    <row r="25" spans="2:9" s="64" customFormat="1" ht="15.75" customHeight="1" thickBot="1">
      <c r="B25" s="639" t="s">
        <v>456</v>
      </c>
      <c r="C25" s="640"/>
      <c r="D25" s="642"/>
      <c r="E25" s="640"/>
      <c r="F25" s="640"/>
      <c r="G25" s="66"/>
      <c r="H25" s="69"/>
      <c r="I25" s="77"/>
    </row>
    <row r="26" spans="2:9" s="64" customFormat="1">
      <c r="B26" s="624" t="s">
        <v>457</v>
      </c>
      <c r="C26" s="643" t="s">
        <v>215</v>
      </c>
      <c r="D26" s="644"/>
      <c r="E26" s="627">
        <f>H26*1.15</f>
        <v>204.0675</v>
      </c>
      <c r="F26" s="628">
        <f>H26*1.1</f>
        <v>195.19500000000002</v>
      </c>
      <c r="G26" s="66"/>
      <c r="H26" s="69">
        <f>I26*1.05</f>
        <v>177.45000000000002</v>
      </c>
      <c r="I26" s="77">
        <v>169</v>
      </c>
    </row>
    <row r="27" spans="2:9" s="64" customFormat="1">
      <c r="B27" s="629" t="s">
        <v>458</v>
      </c>
      <c r="C27" s="630" t="s">
        <v>215</v>
      </c>
      <c r="D27" s="645"/>
      <c r="E27" s="646">
        <f t="shared" ref="E27:E29" si="9">H27*1.15</f>
        <v>228.2175</v>
      </c>
      <c r="F27" s="647">
        <f t="shared" ref="F27:F29" si="10">H27*1.1</f>
        <v>218.29500000000004</v>
      </c>
      <c r="G27" s="66"/>
      <c r="H27" s="69">
        <f t="shared" ref="H27:H29" si="11">I27*1.05</f>
        <v>198.45000000000002</v>
      </c>
      <c r="I27" s="77">
        <v>189</v>
      </c>
    </row>
    <row r="28" spans="2:9" s="64" customFormat="1">
      <c r="B28" s="629" t="s">
        <v>459</v>
      </c>
      <c r="C28" s="630" t="s">
        <v>215</v>
      </c>
      <c r="D28" s="648"/>
      <c r="E28" s="646">
        <f t="shared" si="9"/>
        <v>344.13749999999999</v>
      </c>
      <c r="F28" s="647">
        <f t="shared" si="10"/>
        <v>329.17500000000001</v>
      </c>
      <c r="G28" s="66"/>
      <c r="H28" s="69">
        <f t="shared" si="11"/>
        <v>299.25</v>
      </c>
      <c r="I28" s="77">
        <v>285</v>
      </c>
    </row>
    <row r="29" spans="2:9" s="64" customFormat="1" ht="15.75" thickBot="1">
      <c r="B29" s="649" t="s">
        <v>460</v>
      </c>
      <c r="C29" s="650" t="s">
        <v>215</v>
      </c>
      <c r="D29" s="653"/>
      <c r="E29" s="651">
        <f t="shared" si="9"/>
        <v>350.17499999999995</v>
      </c>
      <c r="F29" s="652">
        <f t="shared" si="10"/>
        <v>334.95000000000005</v>
      </c>
      <c r="G29" s="66"/>
      <c r="H29" s="69">
        <f t="shared" si="11"/>
        <v>304.5</v>
      </c>
      <c r="I29" s="77">
        <v>290</v>
      </c>
    </row>
    <row r="30" spans="2:9">
      <c r="F30" s="84"/>
    </row>
    <row r="31" spans="2:9">
      <c r="F31" s="84"/>
    </row>
    <row r="32" spans="2:9">
      <c r="F32" s="84"/>
    </row>
    <row r="33" spans="6:6">
      <c r="F33" s="84"/>
    </row>
    <row r="34" spans="6:6">
      <c r="F34" s="84"/>
    </row>
    <row r="35" spans="6:6">
      <c r="F35" s="84"/>
    </row>
    <row r="36" spans="6:6">
      <c r="F36" s="84"/>
    </row>
    <row r="37" spans="6:6">
      <c r="F37" s="84"/>
    </row>
    <row r="38" spans="6:6">
      <c r="F38" s="84"/>
    </row>
    <row r="39" spans="6:6">
      <c r="F39" s="84"/>
    </row>
    <row r="40" spans="6:6">
      <c r="F40" s="84"/>
    </row>
    <row r="41" spans="6:6">
      <c r="F41" s="84"/>
    </row>
    <row r="42" spans="6:6">
      <c r="F42" s="84"/>
    </row>
    <row r="43" spans="6:6">
      <c r="F43" s="84"/>
    </row>
    <row r="44" spans="6:6">
      <c r="F44" s="84"/>
    </row>
    <row r="45" spans="6:6">
      <c r="F45" s="84"/>
    </row>
    <row r="46" spans="6:6">
      <c r="F46" s="84"/>
    </row>
    <row r="47" spans="6:6">
      <c r="F47" s="84"/>
    </row>
    <row r="48" spans="6:6">
      <c r="F48" s="84"/>
    </row>
    <row r="49" spans="6:6">
      <c r="F49" s="84"/>
    </row>
    <row r="50" spans="6:6">
      <c r="F50" s="84"/>
    </row>
    <row r="51" spans="6:6">
      <c r="F51" s="84"/>
    </row>
    <row r="52" spans="6:6">
      <c r="F52" s="84"/>
    </row>
    <row r="53" spans="6:6">
      <c r="F53" s="84"/>
    </row>
    <row r="54" spans="6:6">
      <c r="F54" s="84"/>
    </row>
    <row r="55" spans="6:6">
      <c r="F55" s="84"/>
    </row>
    <row r="56" spans="6:6">
      <c r="F56" s="84"/>
    </row>
    <row r="57" spans="6:6">
      <c r="F57" s="84"/>
    </row>
    <row r="58" spans="6:6">
      <c r="F58" s="84"/>
    </row>
    <row r="59" spans="6:6">
      <c r="F59" s="84"/>
    </row>
    <row r="60" spans="6:6">
      <c r="F60" s="84"/>
    </row>
    <row r="61" spans="6:6">
      <c r="F61" s="84"/>
    </row>
    <row r="62" spans="6:6">
      <c r="F62" s="84"/>
    </row>
    <row r="63" spans="6:6">
      <c r="F63" s="84"/>
    </row>
    <row r="64" spans="6:6">
      <c r="F64" s="84"/>
    </row>
    <row r="65" spans="6:6">
      <c r="F65" s="84"/>
    </row>
    <row r="66" spans="6:6">
      <c r="F66" s="84"/>
    </row>
    <row r="67" spans="6:6">
      <c r="F67" s="84"/>
    </row>
    <row r="68" spans="6:6">
      <c r="F68" s="84"/>
    </row>
    <row r="69" spans="6:6">
      <c r="F69" s="84"/>
    </row>
    <row r="70" spans="6:6">
      <c r="F70" s="84"/>
    </row>
    <row r="71" spans="6:6">
      <c r="F71" s="84"/>
    </row>
    <row r="72" spans="6:6">
      <c r="F72" s="84"/>
    </row>
    <row r="73" spans="6:6">
      <c r="F73" s="84"/>
    </row>
    <row r="74" spans="6:6">
      <c r="F74" s="84"/>
    </row>
    <row r="75" spans="6:6">
      <c r="F75" s="84"/>
    </row>
    <row r="76" spans="6:6">
      <c r="F76" s="84"/>
    </row>
    <row r="77" spans="6:6">
      <c r="F77" s="84"/>
    </row>
    <row r="78" spans="6:6">
      <c r="F78" s="84"/>
    </row>
    <row r="79" spans="6:6">
      <c r="F79" s="84"/>
    </row>
    <row r="80" spans="6:6">
      <c r="F80" s="84"/>
    </row>
    <row r="81" spans="6:6">
      <c r="F81" s="84"/>
    </row>
    <row r="82" spans="6:6">
      <c r="F82" s="84"/>
    </row>
    <row r="83" spans="6:6">
      <c r="F83" s="84"/>
    </row>
    <row r="84" spans="6:6">
      <c r="F84" s="84"/>
    </row>
    <row r="85" spans="6:6">
      <c r="F85" s="84"/>
    </row>
    <row r="86" spans="6:6">
      <c r="F86" s="84"/>
    </row>
    <row r="87" spans="6:6">
      <c r="F87" s="84"/>
    </row>
    <row r="88" spans="6:6">
      <c r="F88" s="84"/>
    </row>
    <row r="89" spans="6:6">
      <c r="F89" s="84"/>
    </row>
    <row r="90" spans="6:6">
      <c r="F90" s="84"/>
    </row>
    <row r="91" spans="6:6">
      <c r="F91" s="84"/>
    </row>
    <row r="92" spans="6:6">
      <c r="F92" s="84"/>
    </row>
    <row r="93" spans="6:6">
      <c r="F93" s="84"/>
    </row>
    <row r="94" spans="6:6">
      <c r="F94" s="84"/>
    </row>
    <row r="95" spans="6:6">
      <c r="F95" s="84"/>
    </row>
    <row r="96" spans="6:6">
      <c r="F96" s="84"/>
    </row>
    <row r="97" spans="6:6">
      <c r="F97" s="84"/>
    </row>
    <row r="98" spans="6:6">
      <c r="F98" s="84"/>
    </row>
    <row r="99" spans="6:6">
      <c r="F99" s="84"/>
    </row>
    <row r="100" spans="6:6">
      <c r="F100" s="84"/>
    </row>
    <row r="101" spans="6:6">
      <c r="F101" s="84"/>
    </row>
    <row r="102" spans="6:6">
      <c r="F102" s="84"/>
    </row>
    <row r="103" spans="6:6">
      <c r="F103" s="84"/>
    </row>
    <row r="104" spans="6:6">
      <c r="F104" s="84"/>
    </row>
    <row r="105" spans="6:6">
      <c r="F105" s="84"/>
    </row>
    <row r="106" spans="6:6">
      <c r="F106" s="84"/>
    </row>
    <row r="107" spans="6:6">
      <c r="F107" s="84"/>
    </row>
    <row r="108" spans="6:6">
      <c r="F108" s="84"/>
    </row>
    <row r="109" spans="6:6">
      <c r="F109" s="84"/>
    </row>
    <row r="110" spans="6:6">
      <c r="F110" s="84"/>
    </row>
    <row r="111" spans="6:6">
      <c r="F111" s="84"/>
    </row>
    <row r="112" spans="6:6">
      <c r="F112" s="84"/>
    </row>
    <row r="113" spans="6:6">
      <c r="F113" s="84"/>
    </row>
    <row r="114" spans="6:6">
      <c r="F114" s="84"/>
    </row>
    <row r="115" spans="6:6">
      <c r="F115" s="84"/>
    </row>
    <row r="116" spans="6:6">
      <c r="F116" s="84"/>
    </row>
    <row r="117" spans="6:6">
      <c r="F117" s="84"/>
    </row>
    <row r="118" spans="6:6">
      <c r="F118" s="84"/>
    </row>
    <row r="119" spans="6:6">
      <c r="F119" s="84"/>
    </row>
    <row r="120" spans="6:6">
      <c r="F120" s="84"/>
    </row>
    <row r="121" spans="6:6">
      <c r="F121" s="84"/>
    </row>
    <row r="122" spans="6:6">
      <c r="F122" s="84"/>
    </row>
    <row r="123" spans="6:6">
      <c r="F123" s="84"/>
    </row>
    <row r="124" spans="6:6">
      <c r="F124" s="84"/>
    </row>
    <row r="125" spans="6:6">
      <c r="F125" s="84"/>
    </row>
    <row r="126" spans="6:6">
      <c r="F126" s="84"/>
    </row>
    <row r="127" spans="6:6">
      <c r="F127" s="84"/>
    </row>
    <row r="128" spans="6:6">
      <c r="F128" s="84"/>
    </row>
    <row r="129" spans="6:6">
      <c r="F129" s="84"/>
    </row>
    <row r="130" spans="6:6">
      <c r="F130" s="84"/>
    </row>
    <row r="131" spans="6:6">
      <c r="F131" s="84"/>
    </row>
    <row r="132" spans="6:6">
      <c r="F132" s="84"/>
    </row>
    <row r="133" spans="6:6">
      <c r="F133" s="84"/>
    </row>
    <row r="134" spans="6:6">
      <c r="F134" s="84"/>
    </row>
    <row r="135" spans="6:6">
      <c r="F135" s="84"/>
    </row>
    <row r="136" spans="6:6">
      <c r="F136" s="84"/>
    </row>
    <row r="137" spans="6:6">
      <c r="F137" s="84"/>
    </row>
    <row r="138" spans="6:6">
      <c r="F138" s="84"/>
    </row>
    <row r="139" spans="6:6">
      <c r="F139" s="84"/>
    </row>
    <row r="140" spans="6:6">
      <c r="F140" s="84"/>
    </row>
    <row r="141" spans="6:6">
      <c r="F141" s="84"/>
    </row>
    <row r="142" spans="6:6">
      <c r="F142" s="84"/>
    </row>
    <row r="143" spans="6:6">
      <c r="F143" s="84"/>
    </row>
    <row r="144" spans="6:6">
      <c r="F144" s="84"/>
    </row>
    <row r="145" spans="6:6">
      <c r="F145" s="84"/>
    </row>
    <row r="146" spans="6:6">
      <c r="F146" s="84"/>
    </row>
    <row r="147" spans="6:6">
      <c r="F147" s="84"/>
    </row>
    <row r="148" spans="6:6">
      <c r="F148" s="84"/>
    </row>
    <row r="149" spans="6:6">
      <c r="F149" s="84"/>
    </row>
    <row r="150" spans="6:6">
      <c r="F150" s="84"/>
    </row>
    <row r="151" spans="6:6">
      <c r="F151" s="84"/>
    </row>
    <row r="152" spans="6:6">
      <c r="F152" s="84"/>
    </row>
    <row r="153" spans="6:6">
      <c r="F153" s="84"/>
    </row>
    <row r="154" spans="6:6">
      <c r="F154" s="84"/>
    </row>
    <row r="155" spans="6:6">
      <c r="F155" s="84"/>
    </row>
    <row r="156" spans="6:6">
      <c r="F156" s="84"/>
    </row>
    <row r="157" spans="6:6">
      <c r="F157" s="84"/>
    </row>
    <row r="158" spans="6:6">
      <c r="F158" s="84"/>
    </row>
    <row r="159" spans="6:6">
      <c r="F159" s="84"/>
    </row>
    <row r="160" spans="6:6">
      <c r="F160" s="84"/>
    </row>
    <row r="161" spans="6:6">
      <c r="F161" s="84"/>
    </row>
    <row r="162" spans="6:6">
      <c r="F162" s="84"/>
    </row>
    <row r="163" spans="6:6">
      <c r="F163" s="84"/>
    </row>
    <row r="164" spans="6:6">
      <c r="F164" s="84"/>
    </row>
    <row r="165" spans="6:6">
      <c r="F165" s="84"/>
    </row>
    <row r="166" spans="6:6">
      <c r="F166" s="84"/>
    </row>
    <row r="167" spans="6:6">
      <c r="F167" s="84"/>
    </row>
    <row r="168" spans="6:6">
      <c r="F168" s="84"/>
    </row>
    <row r="169" spans="6:6">
      <c r="F169" s="84"/>
    </row>
    <row r="170" spans="6:6">
      <c r="F170" s="84"/>
    </row>
    <row r="171" spans="6:6">
      <c r="F171" s="84"/>
    </row>
    <row r="172" spans="6:6">
      <c r="F172" s="84"/>
    </row>
    <row r="173" spans="6:6">
      <c r="F173" s="84"/>
    </row>
    <row r="174" spans="6:6">
      <c r="F174" s="84"/>
    </row>
    <row r="175" spans="6:6">
      <c r="F175" s="84"/>
    </row>
    <row r="176" spans="6:6">
      <c r="F176" s="84"/>
    </row>
    <row r="177" spans="6:6">
      <c r="F177" s="84"/>
    </row>
    <row r="178" spans="6:6">
      <c r="F178" s="84"/>
    </row>
    <row r="179" spans="6:6">
      <c r="F179" s="84"/>
    </row>
    <row r="180" spans="6:6">
      <c r="F180" s="84"/>
    </row>
    <row r="181" spans="6:6">
      <c r="F181" s="84"/>
    </row>
    <row r="182" spans="6:6">
      <c r="F182" s="84"/>
    </row>
    <row r="183" spans="6:6">
      <c r="F183" s="84"/>
    </row>
    <row r="184" spans="6:6">
      <c r="F184" s="84"/>
    </row>
    <row r="185" spans="6:6">
      <c r="F185" s="84"/>
    </row>
    <row r="186" spans="6:6">
      <c r="F186" s="84"/>
    </row>
    <row r="187" spans="6:6">
      <c r="F187" s="84"/>
    </row>
    <row r="188" spans="6:6">
      <c r="F188" s="84"/>
    </row>
    <row r="189" spans="6:6">
      <c r="F189" s="84"/>
    </row>
    <row r="190" spans="6:6">
      <c r="F190" s="84"/>
    </row>
    <row r="191" spans="6:6">
      <c r="F191" s="84"/>
    </row>
    <row r="192" spans="6:6">
      <c r="F192" s="84"/>
    </row>
    <row r="193" spans="6:6">
      <c r="F193" s="84"/>
    </row>
    <row r="194" spans="6:6">
      <c r="F194" s="84"/>
    </row>
    <row r="195" spans="6:6">
      <c r="F195" s="84"/>
    </row>
    <row r="196" spans="6:6">
      <c r="F196" s="84"/>
    </row>
    <row r="197" spans="6:6">
      <c r="F197" s="84"/>
    </row>
    <row r="198" spans="6:6">
      <c r="F198" s="84"/>
    </row>
    <row r="199" spans="6:6">
      <c r="F199" s="84"/>
    </row>
    <row r="200" spans="6:6">
      <c r="F200" s="84"/>
    </row>
    <row r="201" spans="6:6">
      <c r="F201" s="84"/>
    </row>
    <row r="202" spans="6:6">
      <c r="F202" s="84"/>
    </row>
    <row r="203" spans="6:6">
      <c r="F203" s="84"/>
    </row>
    <row r="204" spans="6:6">
      <c r="F204" s="84"/>
    </row>
    <row r="205" spans="6:6">
      <c r="F205" s="84"/>
    </row>
    <row r="206" spans="6:6">
      <c r="F206" s="84"/>
    </row>
    <row r="207" spans="6:6">
      <c r="F207" s="84"/>
    </row>
    <row r="208" spans="6:6">
      <c r="F208" s="84"/>
    </row>
    <row r="209" spans="6:6">
      <c r="F209" s="84"/>
    </row>
    <row r="210" spans="6:6">
      <c r="F210" s="84"/>
    </row>
    <row r="211" spans="6:6">
      <c r="F211" s="84"/>
    </row>
    <row r="212" spans="6:6">
      <c r="F212" s="84"/>
    </row>
    <row r="213" spans="6:6">
      <c r="F213" s="84"/>
    </row>
    <row r="214" spans="6:6">
      <c r="F214" s="84"/>
    </row>
    <row r="215" spans="6:6">
      <c r="F215" s="84"/>
    </row>
    <row r="216" spans="6:6">
      <c r="F216" s="84"/>
    </row>
    <row r="217" spans="6:6">
      <c r="F217" s="84"/>
    </row>
    <row r="218" spans="6:6">
      <c r="F218" s="84"/>
    </row>
    <row r="219" spans="6:6">
      <c r="F219" s="84"/>
    </row>
    <row r="220" spans="6:6">
      <c r="F220" s="84"/>
    </row>
    <row r="221" spans="6:6">
      <c r="F221" s="84"/>
    </row>
    <row r="222" spans="6:6">
      <c r="F222" s="84"/>
    </row>
    <row r="223" spans="6:6">
      <c r="F223" s="84"/>
    </row>
    <row r="224" spans="6:6">
      <c r="F224" s="84"/>
    </row>
    <row r="225" spans="6:6">
      <c r="F225" s="84"/>
    </row>
    <row r="226" spans="6:6">
      <c r="F226" s="84"/>
    </row>
    <row r="227" spans="6:6">
      <c r="F227" s="84"/>
    </row>
    <row r="228" spans="6:6">
      <c r="F228" s="84"/>
    </row>
    <row r="229" spans="6:6">
      <c r="F229" s="84"/>
    </row>
    <row r="230" spans="6:6">
      <c r="F230" s="84"/>
    </row>
    <row r="231" spans="6:6">
      <c r="F231" s="84"/>
    </row>
    <row r="232" spans="6:6">
      <c r="F232" s="84"/>
    </row>
    <row r="233" spans="6:6">
      <c r="F233" s="84"/>
    </row>
    <row r="234" spans="6:6">
      <c r="F234" s="84"/>
    </row>
    <row r="235" spans="6:6">
      <c r="F235" s="84"/>
    </row>
    <row r="236" spans="6:6">
      <c r="F236" s="84"/>
    </row>
    <row r="237" spans="6:6">
      <c r="F237" s="84"/>
    </row>
    <row r="238" spans="6:6">
      <c r="F238" s="84"/>
    </row>
    <row r="239" spans="6:6">
      <c r="F239" s="84"/>
    </row>
    <row r="240" spans="6:6">
      <c r="F240" s="84"/>
    </row>
    <row r="241" spans="6:6">
      <c r="F241" s="84"/>
    </row>
    <row r="242" spans="6:6">
      <c r="F242" s="84"/>
    </row>
    <row r="243" spans="6:6">
      <c r="F243" s="84"/>
    </row>
    <row r="244" spans="6:6">
      <c r="F244" s="84"/>
    </row>
    <row r="245" spans="6:6">
      <c r="F245" s="84"/>
    </row>
    <row r="246" spans="6:6">
      <c r="F246" s="84"/>
    </row>
    <row r="247" spans="6:6">
      <c r="F247" s="84"/>
    </row>
    <row r="248" spans="6:6">
      <c r="F248" s="84"/>
    </row>
    <row r="249" spans="6:6">
      <c r="F249" s="84"/>
    </row>
    <row r="250" spans="6:6">
      <c r="F250" s="84"/>
    </row>
    <row r="251" spans="6:6">
      <c r="F251" s="84"/>
    </row>
    <row r="252" spans="6:6">
      <c r="F252" s="84"/>
    </row>
    <row r="253" spans="6:6">
      <c r="F253" s="84"/>
    </row>
    <row r="254" spans="6:6">
      <c r="F254" s="84"/>
    </row>
    <row r="255" spans="6:6">
      <c r="F255" s="84"/>
    </row>
    <row r="256" spans="6:6">
      <c r="F256" s="84"/>
    </row>
    <row r="257" spans="6:6">
      <c r="F257" s="84"/>
    </row>
    <row r="258" spans="6:6">
      <c r="F258" s="84"/>
    </row>
    <row r="259" spans="6:6">
      <c r="F259" s="84"/>
    </row>
    <row r="260" spans="6:6">
      <c r="F260" s="84"/>
    </row>
    <row r="261" spans="6:6">
      <c r="F261" s="84"/>
    </row>
    <row r="262" spans="6:6">
      <c r="F262" s="84"/>
    </row>
    <row r="263" spans="6:6">
      <c r="F263" s="84"/>
    </row>
    <row r="264" spans="6:6">
      <c r="F264" s="84"/>
    </row>
    <row r="265" spans="6:6">
      <c r="F265" s="84"/>
    </row>
    <row r="266" spans="6:6">
      <c r="F266" s="84"/>
    </row>
    <row r="267" spans="6:6">
      <c r="F267" s="84"/>
    </row>
    <row r="268" spans="6:6">
      <c r="F268" s="84"/>
    </row>
    <row r="269" spans="6:6">
      <c r="F269" s="84"/>
    </row>
    <row r="270" spans="6:6">
      <c r="F270" s="84"/>
    </row>
    <row r="271" spans="6:6">
      <c r="F271" s="84"/>
    </row>
    <row r="272" spans="6:6">
      <c r="F272" s="84"/>
    </row>
    <row r="273" spans="6:6">
      <c r="F273" s="84"/>
    </row>
    <row r="274" spans="6:6">
      <c r="F274" s="84"/>
    </row>
    <row r="275" spans="6:6">
      <c r="F275" s="84"/>
    </row>
    <row r="276" spans="6:6">
      <c r="F276" s="84"/>
    </row>
    <row r="277" spans="6:6">
      <c r="F277" s="84"/>
    </row>
    <row r="278" spans="6:6">
      <c r="F278" s="84"/>
    </row>
    <row r="279" spans="6:6">
      <c r="F279" s="84"/>
    </row>
    <row r="280" spans="6:6">
      <c r="F280" s="84"/>
    </row>
    <row r="281" spans="6:6">
      <c r="F281" s="84"/>
    </row>
    <row r="282" spans="6:6">
      <c r="F282" s="84"/>
    </row>
    <row r="283" spans="6:6">
      <c r="F283" s="84"/>
    </row>
    <row r="284" spans="6:6">
      <c r="F284" s="84"/>
    </row>
    <row r="285" spans="6:6">
      <c r="F285" s="84"/>
    </row>
    <row r="286" spans="6:6">
      <c r="F286" s="84"/>
    </row>
    <row r="287" spans="6:6">
      <c r="F287" s="84"/>
    </row>
    <row r="288" spans="6:6">
      <c r="F288" s="84"/>
    </row>
    <row r="289" spans="6:6">
      <c r="F289" s="84"/>
    </row>
    <row r="290" spans="6:6">
      <c r="F290" s="84"/>
    </row>
    <row r="291" spans="6:6">
      <c r="F291" s="84"/>
    </row>
    <row r="292" spans="6:6">
      <c r="F292" s="84"/>
    </row>
    <row r="293" spans="6:6">
      <c r="F293" s="84"/>
    </row>
    <row r="294" spans="6:6">
      <c r="F294" s="84"/>
    </row>
    <row r="295" spans="6:6">
      <c r="F295" s="84"/>
    </row>
    <row r="296" spans="6:6">
      <c r="F296" s="84"/>
    </row>
    <row r="297" spans="6:6">
      <c r="F297" s="84"/>
    </row>
    <row r="298" spans="6:6">
      <c r="F298" s="84"/>
    </row>
    <row r="299" spans="6:6">
      <c r="F299" s="84"/>
    </row>
    <row r="300" spans="6:6">
      <c r="F300" s="84"/>
    </row>
    <row r="301" spans="6:6">
      <c r="F301" s="84"/>
    </row>
    <row r="302" spans="6:6">
      <c r="F302" s="84"/>
    </row>
    <row r="303" spans="6:6">
      <c r="F303" s="84"/>
    </row>
    <row r="304" spans="6:6">
      <c r="F304" s="84"/>
    </row>
    <row r="305" spans="6:6">
      <c r="F305" s="84"/>
    </row>
    <row r="306" spans="6:6">
      <c r="F306" s="84"/>
    </row>
    <row r="307" spans="6:6">
      <c r="F307" s="84"/>
    </row>
    <row r="308" spans="6:6">
      <c r="F308" s="84"/>
    </row>
    <row r="309" spans="6:6">
      <c r="F309" s="84"/>
    </row>
    <row r="310" spans="6:6">
      <c r="F310" s="84"/>
    </row>
    <row r="311" spans="6:6">
      <c r="F311" s="84"/>
    </row>
    <row r="312" spans="6:6">
      <c r="F312" s="84"/>
    </row>
    <row r="313" spans="6:6">
      <c r="F313" s="84"/>
    </row>
    <row r="314" spans="6:6">
      <c r="F314" s="84"/>
    </row>
    <row r="315" spans="6:6">
      <c r="F315" s="84"/>
    </row>
    <row r="316" spans="6:6">
      <c r="F316" s="84"/>
    </row>
    <row r="317" spans="6:6">
      <c r="F317" s="84"/>
    </row>
    <row r="318" spans="6:6">
      <c r="F318" s="84"/>
    </row>
    <row r="319" spans="6:6">
      <c r="F319" s="84"/>
    </row>
    <row r="320" spans="6:6">
      <c r="F320" s="84"/>
    </row>
    <row r="321" spans="6:6">
      <c r="F321" s="84"/>
    </row>
    <row r="322" spans="6:6">
      <c r="F322" s="84"/>
    </row>
    <row r="323" spans="6:6">
      <c r="F323" s="84"/>
    </row>
    <row r="324" spans="6:6">
      <c r="F324" s="84"/>
    </row>
    <row r="325" spans="6:6">
      <c r="F325" s="84"/>
    </row>
    <row r="326" spans="6:6">
      <c r="F326" s="84"/>
    </row>
    <row r="327" spans="6:6">
      <c r="F327" s="84"/>
    </row>
    <row r="328" spans="6:6">
      <c r="F328" s="84"/>
    </row>
    <row r="329" spans="6:6">
      <c r="F329" s="84"/>
    </row>
    <row r="330" spans="6:6">
      <c r="F330" s="84"/>
    </row>
    <row r="331" spans="6:6">
      <c r="F331" s="84"/>
    </row>
    <row r="332" spans="6:6">
      <c r="F332" s="84"/>
    </row>
    <row r="333" spans="6:6">
      <c r="F333" s="84"/>
    </row>
    <row r="334" spans="6:6">
      <c r="F334" s="84"/>
    </row>
    <row r="335" spans="6:6">
      <c r="F335" s="84"/>
    </row>
    <row r="336" spans="6:6">
      <c r="F336" s="84"/>
    </row>
    <row r="337" spans="6:6">
      <c r="F337" s="84"/>
    </row>
    <row r="338" spans="6:6">
      <c r="F338" s="84"/>
    </row>
    <row r="339" spans="6:6">
      <c r="F339" s="84"/>
    </row>
    <row r="340" spans="6:6">
      <c r="F340" s="84"/>
    </row>
    <row r="341" spans="6:6">
      <c r="F341" s="84"/>
    </row>
    <row r="342" spans="6:6">
      <c r="F342" s="84"/>
    </row>
    <row r="343" spans="6:6">
      <c r="F343" s="84"/>
    </row>
    <row r="344" spans="6:6">
      <c r="F344" s="84"/>
    </row>
    <row r="345" spans="6:6">
      <c r="F345" s="84"/>
    </row>
    <row r="346" spans="6:6">
      <c r="F346" s="84"/>
    </row>
    <row r="347" spans="6:6">
      <c r="F347" s="84"/>
    </row>
    <row r="348" spans="6:6">
      <c r="F348" s="84"/>
    </row>
    <row r="349" spans="6:6">
      <c r="F349" s="84"/>
    </row>
    <row r="350" spans="6:6">
      <c r="F350" s="84"/>
    </row>
    <row r="351" spans="6:6">
      <c r="F351" s="84"/>
    </row>
    <row r="352" spans="6:6">
      <c r="F352" s="84"/>
    </row>
    <row r="353" spans="6:6">
      <c r="F353" s="84"/>
    </row>
    <row r="354" spans="6:6">
      <c r="F354" s="84"/>
    </row>
    <row r="355" spans="6:6">
      <c r="F355" s="84"/>
    </row>
    <row r="356" spans="6:6">
      <c r="F356" s="84"/>
    </row>
    <row r="357" spans="6:6">
      <c r="F357" s="84"/>
    </row>
    <row r="358" spans="6:6">
      <c r="F358" s="84"/>
    </row>
    <row r="359" spans="6:6">
      <c r="F359" s="84"/>
    </row>
    <row r="360" spans="6:6">
      <c r="F360" s="84"/>
    </row>
    <row r="361" spans="6:6">
      <c r="F361" s="84"/>
    </row>
    <row r="362" spans="6:6">
      <c r="F362" s="84"/>
    </row>
    <row r="363" spans="6:6">
      <c r="F363" s="84"/>
    </row>
    <row r="364" spans="6:6">
      <c r="F364" s="84"/>
    </row>
    <row r="365" spans="6:6">
      <c r="F365" s="84"/>
    </row>
    <row r="366" spans="6:6">
      <c r="F366" s="84"/>
    </row>
    <row r="367" spans="6:6">
      <c r="F367" s="84"/>
    </row>
    <row r="368" spans="6:6">
      <c r="F368" s="84"/>
    </row>
    <row r="369" spans="6:6">
      <c r="F369" s="84"/>
    </row>
    <row r="370" spans="6:6">
      <c r="F370" s="84"/>
    </row>
    <row r="371" spans="6:6">
      <c r="F371" s="84"/>
    </row>
    <row r="372" spans="6:6">
      <c r="F372" s="84"/>
    </row>
    <row r="373" spans="6:6">
      <c r="F373" s="84"/>
    </row>
    <row r="374" spans="6:6">
      <c r="F374" s="84"/>
    </row>
    <row r="375" spans="6:6">
      <c r="F375" s="84"/>
    </row>
    <row r="376" spans="6:6">
      <c r="F376" s="84"/>
    </row>
    <row r="377" spans="6:6">
      <c r="F377" s="84"/>
    </row>
    <row r="378" spans="6:6">
      <c r="F378" s="84"/>
    </row>
    <row r="379" spans="6:6">
      <c r="F379" s="84"/>
    </row>
    <row r="380" spans="6:6">
      <c r="F380" s="84"/>
    </row>
    <row r="381" spans="6:6">
      <c r="F381" s="84"/>
    </row>
    <row r="382" spans="6:6">
      <c r="F382" s="84"/>
    </row>
    <row r="383" spans="6:6">
      <c r="F383" s="84"/>
    </row>
    <row r="384" spans="6:6">
      <c r="F384" s="84"/>
    </row>
    <row r="385" spans="6:6">
      <c r="F385" s="84"/>
    </row>
    <row r="386" spans="6:6">
      <c r="F386" s="84"/>
    </row>
    <row r="387" spans="6:6">
      <c r="F387" s="84"/>
    </row>
    <row r="388" spans="6:6">
      <c r="F388" s="84"/>
    </row>
    <row r="389" spans="6:6">
      <c r="F389" s="84"/>
    </row>
    <row r="390" spans="6:6">
      <c r="F390" s="84"/>
    </row>
    <row r="391" spans="6:6">
      <c r="F391" s="84"/>
    </row>
    <row r="392" spans="6:6">
      <c r="F392" s="84"/>
    </row>
    <row r="393" spans="6:6">
      <c r="F393" s="84"/>
    </row>
    <row r="394" spans="6:6">
      <c r="F394" s="84"/>
    </row>
    <row r="395" spans="6:6">
      <c r="F395" s="84"/>
    </row>
    <row r="396" spans="6:6">
      <c r="F396" s="84"/>
    </row>
    <row r="397" spans="6:6">
      <c r="F397" s="84"/>
    </row>
    <row r="398" spans="6:6">
      <c r="F398" s="84"/>
    </row>
    <row r="399" spans="6:6">
      <c r="F399" s="84"/>
    </row>
    <row r="400" spans="6:6">
      <c r="F400" s="84"/>
    </row>
    <row r="401" spans="6:6">
      <c r="F401" s="84"/>
    </row>
    <row r="402" spans="6:6">
      <c r="F402" s="84"/>
    </row>
    <row r="403" spans="6:6">
      <c r="F403" s="84"/>
    </row>
    <row r="404" spans="6:6">
      <c r="F404" s="84"/>
    </row>
    <row r="405" spans="6:6">
      <c r="F405" s="84"/>
    </row>
    <row r="406" spans="6:6">
      <c r="F406" s="84"/>
    </row>
    <row r="407" spans="6:6">
      <c r="F407" s="84"/>
    </row>
    <row r="408" spans="6:6">
      <c r="F408" s="84"/>
    </row>
    <row r="409" spans="6:6">
      <c r="F409" s="84"/>
    </row>
    <row r="410" spans="6:6">
      <c r="F410" s="84"/>
    </row>
    <row r="411" spans="6:6">
      <c r="F411" s="84"/>
    </row>
    <row r="412" spans="6:6">
      <c r="F412" s="84"/>
    </row>
    <row r="413" spans="6:6">
      <c r="F413" s="84"/>
    </row>
    <row r="414" spans="6:6">
      <c r="F414" s="84"/>
    </row>
    <row r="415" spans="6:6">
      <c r="F415" s="84"/>
    </row>
    <row r="416" spans="6:6">
      <c r="F416" s="84"/>
    </row>
    <row r="417" spans="6:6">
      <c r="F417" s="84"/>
    </row>
    <row r="418" spans="6:6">
      <c r="F418" s="84"/>
    </row>
    <row r="419" spans="6:6">
      <c r="F419" s="84"/>
    </row>
    <row r="420" spans="6:6">
      <c r="F420" s="84"/>
    </row>
    <row r="421" spans="6:6">
      <c r="F421" s="84"/>
    </row>
    <row r="422" spans="6:6">
      <c r="F422" s="84"/>
    </row>
    <row r="423" spans="6:6">
      <c r="F423" s="84"/>
    </row>
    <row r="424" spans="6:6">
      <c r="F424" s="84"/>
    </row>
    <row r="425" spans="6:6">
      <c r="F425" s="84"/>
    </row>
    <row r="426" spans="6:6">
      <c r="F426" s="84"/>
    </row>
    <row r="427" spans="6:6">
      <c r="F427" s="84"/>
    </row>
    <row r="428" spans="6:6">
      <c r="F428" s="84"/>
    </row>
    <row r="429" spans="6:6">
      <c r="F429" s="84"/>
    </row>
    <row r="430" spans="6:6">
      <c r="F430" s="84"/>
    </row>
    <row r="431" spans="6:6">
      <c r="F431" s="84"/>
    </row>
    <row r="432" spans="6:6">
      <c r="F432" s="84"/>
    </row>
    <row r="433" spans="6:6">
      <c r="F433" s="84"/>
    </row>
    <row r="434" spans="6:6">
      <c r="F434" s="84"/>
    </row>
    <row r="435" spans="6:6">
      <c r="F435" s="84"/>
    </row>
    <row r="436" spans="6:6">
      <c r="F436" s="84"/>
    </row>
    <row r="437" spans="6:6">
      <c r="F437" s="84"/>
    </row>
    <row r="438" spans="6:6">
      <c r="F438" s="84"/>
    </row>
    <row r="439" spans="6:6">
      <c r="F439" s="84"/>
    </row>
    <row r="440" spans="6:6">
      <c r="F440" s="84"/>
    </row>
    <row r="441" spans="6:6">
      <c r="F441" s="84"/>
    </row>
    <row r="442" spans="6:6">
      <c r="F442" s="84"/>
    </row>
    <row r="443" spans="6:6">
      <c r="F443" s="84"/>
    </row>
    <row r="444" spans="6:6">
      <c r="F444" s="84"/>
    </row>
    <row r="445" spans="6:6">
      <c r="F445" s="84"/>
    </row>
    <row r="446" spans="6:6">
      <c r="F446" s="84"/>
    </row>
    <row r="447" spans="6:6">
      <c r="F447" s="84"/>
    </row>
    <row r="448" spans="6:6">
      <c r="F448" s="84"/>
    </row>
    <row r="449" spans="6:6">
      <c r="F449" s="84"/>
    </row>
    <row r="450" spans="6:6">
      <c r="F450" s="84"/>
    </row>
    <row r="451" spans="6:6">
      <c r="F451" s="84"/>
    </row>
    <row r="452" spans="6:6">
      <c r="F452" s="84"/>
    </row>
    <row r="453" spans="6:6">
      <c r="F453" s="84"/>
    </row>
    <row r="454" spans="6:6">
      <c r="F454" s="84"/>
    </row>
    <row r="455" spans="6:6">
      <c r="F455" s="84"/>
    </row>
    <row r="456" spans="6:6">
      <c r="F456" s="84"/>
    </row>
    <row r="457" spans="6:6">
      <c r="F457" s="84"/>
    </row>
    <row r="458" spans="6:6">
      <c r="F458" s="84"/>
    </row>
    <row r="459" spans="6:6">
      <c r="F459" s="84"/>
    </row>
    <row r="460" spans="6:6">
      <c r="F460" s="84"/>
    </row>
    <row r="461" spans="6:6">
      <c r="F461" s="84"/>
    </row>
    <row r="462" spans="6:6">
      <c r="F462" s="84"/>
    </row>
    <row r="463" spans="6:6">
      <c r="F463" s="84"/>
    </row>
    <row r="464" spans="6:6">
      <c r="F464" s="84"/>
    </row>
    <row r="465" spans="6:6">
      <c r="F465" s="84"/>
    </row>
    <row r="466" spans="6:6">
      <c r="F466" s="84"/>
    </row>
    <row r="467" spans="6:6">
      <c r="F467" s="84"/>
    </row>
    <row r="468" spans="6:6">
      <c r="F468" s="84"/>
    </row>
    <row r="469" spans="6:6">
      <c r="F469" s="84"/>
    </row>
    <row r="470" spans="6:6">
      <c r="F470" s="84"/>
    </row>
    <row r="471" spans="6:6">
      <c r="F471" s="84"/>
    </row>
    <row r="472" spans="6:6">
      <c r="F472" s="84"/>
    </row>
    <row r="473" spans="6:6">
      <c r="F473" s="84"/>
    </row>
    <row r="474" spans="6:6">
      <c r="F474" s="84"/>
    </row>
    <row r="475" spans="6:6">
      <c r="F475" s="84"/>
    </row>
    <row r="476" spans="6:6">
      <c r="F476" s="84"/>
    </row>
    <row r="477" spans="6:6">
      <c r="F477" s="84"/>
    </row>
    <row r="478" spans="6:6">
      <c r="F478" s="84"/>
    </row>
    <row r="479" spans="6:6">
      <c r="F479" s="84"/>
    </row>
    <row r="480" spans="6:6">
      <c r="F480" s="84"/>
    </row>
    <row r="481" spans="6:6">
      <c r="F481" s="84"/>
    </row>
    <row r="482" spans="6:6">
      <c r="F482" s="84"/>
    </row>
    <row r="483" spans="6:6">
      <c r="F483" s="84"/>
    </row>
    <row r="484" spans="6:6">
      <c r="F484" s="84"/>
    </row>
    <row r="485" spans="6:6">
      <c r="F485" s="84"/>
    </row>
    <row r="486" spans="6:6">
      <c r="F486" s="84"/>
    </row>
    <row r="487" spans="6:6">
      <c r="F487" s="84"/>
    </row>
    <row r="488" spans="6:6">
      <c r="F488" s="84"/>
    </row>
    <row r="489" spans="6:6">
      <c r="F489" s="84"/>
    </row>
    <row r="490" spans="6:6">
      <c r="F490" s="84"/>
    </row>
    <row r="491" spans="6:6">
      <c r="F491" s="84"/>
    </row>
    <row r="492" spans="6:6">
      <c r="F492" s="84"/>
    </row>
    <row r="493" spans="6:6">
      <c r="F493" s="84"/>
    </row>
    <row r="494" spans="6:6">
      <c r="F494" s="84"/>
    </row>
    <row r="495" spans="6:6">
      <c r="F495" s="84"/>
    </row>
    <row r="496" spans="6:6">
      <c r="F496" s="84"/>
    </row>
    <row r="497" spans="6:6">
      <c r="F497" s="84"/>
    </row>
    <row r="498" spans="6:6">
      <c r="F498" s="84"/>
    </row>
    <row r="499" spans="6:6">
      <c r="F499" s="84"/>
    </row>
    <row r="500" spans="6:6">
      <c r="F500" s="84"/>
    </row>
    <row r="501" spans="6:6">
      <c r="F501" s="84"/>
    </row>
    <row r="502" spans="6:6">
      <c r="F502" s="84"/>
    </row>
    <row r="503" spans="6:6">
      <c r="F503" s="84"/>
    </row>
    <row r="504" spans="6:6">
      <c r="F504" s="84"/>
    </row>
    <row r="505" spans="6:6">
      <c r="F505" s="84"/>
    </row>
    <row r="506" spans="6:6">
      <c r="F506" s="84"/>
    </row>
    <row r="507" spans="6:6">
      <c r="F507" s="84"/>
    </row>
    <row r="508" spans="6:6">
      <c r="F508" s="84"/>
    </row>
    <row r="509" spans="6:6">
      <c r="F509" s="84"/>
    </row>
    <row r="510" spans="6:6">
      <c r="F510" s="84"/>
    </row>
    <row r="511" spans="6:6">
      <c r="F511" s="84"/>
    </row>
    <row r="512" spans="6:6">
      <c r="F512" s="84"/>
    </row>
    <row r="513" spans="6:6">
      <c r="F513" s="84"/>
    </row>
    <row r="514" spans="6:6">
      <c r="F514" s="84"/>
    </row>
    <row r="515" spans="6:6">
      <c r="F515" s="84"/>
    </row>
    <row r="516" spans="6:6">
      <c r="F516" s="84"/>
    </row>
    <row r="517" spans="6:6">
      <c r="F517" s="84"/>
    </row>
    <row r="518" spans="6:6">
      <c r="F518" s="84"/>
    </row>
    <row r="519" spans="6:6">
      <c r="F519" s="84"/>
    </row>
    <row r="520" spans="6:6">
      <c r="F520" s="84"/>
    </row>
    <row r="521" spans="6:6">
      <c r="F521" s="84"/>
    </row>
    <row r="522" spans="6:6">
      <c r="F522" s="84"/>
    </row>
    <row r="523" spans="6:6">
      <c r="F523" s="84"/>
    </row>
    <row r="524" spans="6:6">
      <c r="F524" s="84"/>
    </row>
    <row r="525" spans="6:6">
      <c r="F525" s="84"/>
    </row>
    <row r="526" spans="6:6">
      <c r="F526" s="84"/>
    </row>
    <row r="527" spans="6:6">
      <c r="F527" s="84"/>
    </row>
    <row r="528" spans="6:6">
      <c r="F528" s="84"/>
    </row>
    <row r="529" spans="6:6">
      <c r="F529" s="84"/>
    </row>
    <row r="530" spans="6:6">
      <c r="F530" s="84"/>
    </row>
    <row r="531" spans="6:6">
      <c r="F531" s="84"/>
    </row>
    <row r="532" spans="6:6">
      <c r="F532" s="84"/>
    </row>
    <row r="533" spans="6:6">
      <c r="F533" s="84"/>
    </row>
    <row r="534" spans="6:6">
      <c r="F534" s="84"/>
    </row>
    <row r="535" spans="6:6">
      <c r="F535" s="84"/>
    </row>
    <row r="536" spans="6:6">
      <c r="F536" s="84"/>
    </row>
    <row r="537" spans="6:6">
      <c r="F537" s="84"/>
    </row>
    <row r="538" spans="6:6">
      <c r="F538" s="84"/>
    </row>
    <row r="539" spans="6:6">
      <c r="F539" s="84"/>
    </row>
    <row r="540" spans="6:6">
      <c r="F540" s="84"/>
    </row>
    <row r="541" spans="6:6">
      <c r="F541" s="84"/>
    </row>
    <row r="542" spans="6:6">
      <c r="F542" s="84"/>
    </row>
    <row r="543" spans="6:6">
      <c r="F543" s="84"/>
    </row>
    <row r="544" spans="6:6">
      <c r="F544" s="84"/>
    </row>
    <row r="545" spans="6:6">
      <c r="F545" s="84"/>
    </row>
    <row r="546" spans="6:6">
      <c r="F546" s="84"/>
    </row>
    <row r="547" spans="6:6">
      <c r="F547" s="84"/>
    </row>
    <row r="548" spans="6:6">
      <c r="F548" s="84"/>
    </row>
    <row r="549" spans="6:6">
      <c r="F549" s="84"/>
    </row>
    <row r="550" spans="6:6">
      <c r="F550" s="84"/>
    </row>
    <row r="551" spans="6:6">
      <c r="F551" s="84"/>
    </row>
    <row r="552" spans="6:6">
      <c r="F552" s="84"/>
    </row>
    <row r="553" spans="6:6">
      <c r="F553" s="84"/>
    </row>
    <row r="554" spans="6:6">
      <c r="F554" s="84"/>
    </row>
    <row r="555" spans="6:6">
      <c r="F555" s="84"/>
    </row>
    <row r="556" spans="6:6">
      <c r="F556" s="84"/>
    </row>
    <row r="557" spans="6:6">
      <c r="F557" s="84"/>
    </row>
    <row r="558" spans="6:6">
      <c r="F558" s="84"/>
    </row>
    <row r="559" spans="6:6">
      <c r="F559" s="84"/>
    </row>
    <row r="560" spans="6:6">
      <c r="F560" s="84"/>
    </row>
    <row r="561" spans="6:6">
      <c r="F561" s="84"/>
    </row>
    <row r="562" spans="6:6">
      <c r="F562" s="84"/>
    </row>
    <row r="563" spans="6:6">
      <c r="F563" s="84"/>
    </row>
    <row r="564" spans="6:6">
      <c r="F564" s="84"/>
    </row>
    <row r="565" spans="6:6">
      <c r="F565" s="84"/>
    </row>
    <row r="566" spans="6:6">
      <c r="F566" s="84"/>
    </row>
    <row r="567" spans="6:6">
      <c r="F567" s="84"/>
    </row>
    <row r="568" spans="6:6">
      <c r="F568" s="84"/>
    </row>
    <row r="569" spans="6:6">
      <c r="F569" s="84"/>
    </row>
    <row r="570" spans="6:6">
      <c r="F570" s="84"/>
    </row>
    <row r="571" spans="6:6">
      <c r="F571" s="84"/>
    </row>
    <row r="572" spans="6:6">
      <c r="F572" s="84"/>
    </row>
    <row r="573" spans="6:6">
      <c r="F573" s="84"/>
    </row>
    <row r="574" spans="6:6">
      <c r="F574" s="84"/>
    </row>
    <row r="575" spans="6:6">
      <c r="F575" s="84"/>
    </row>
    <row r="576" spans="6:6">
      <c r="F576" s="84"/>
    </row>
    <row r="577" spans="6:6">
      <c r="F577" s="84"/>
    </row>
    <row r="578" spans="6:6">
      <c r="F578" s="84"/>
    </row>
    <row r="579" spans="6:6">
      <c r="F579" s="84"/>
    </row>
    <row r="580" spans="6:6">
      <c r="F580" s="84"/>
    </row>
    <row r="581" spans="6:6">
      <c r="F581" s="84"/>
    </row>
    <row r="582" spans="6:6">
      <c r="F582" s="84"/>
    </row>
    <row r="583" spans="6:6">
      <c r="F583" s="84"/>
    </row>
    <row r="584" spans="6:6">
      <c r="F584" s="84"/>
    </row>
    <row r="585" spans="6:6">
      <c r="F585" s="84"/>
    </row>
    <row r="586" spans="6:6">
      <c r="F586" s="84"/>
    </row>
    <row r="587" spans="6:6">
      <c r="F587" s="84"/>
    </row>
    <row r="588" spans="6:6">
      <c r="F588" s="84"/>
    </row>
    <row r="589" spans="6:6">
      <c r="F589" s="84"/>
    </row>
    <row r="590" spans="6:6">
      <c r="F590" s="84"/>
    </row>
    <row r="591" spans="6:6">
      <c r="F591" s="84"/>
    </row>
    <row r="592" spans="6:6">
      <c r="F592" s="84"/>
    </row>
    <row r="593" spans="6:6">
      <c r="F593" s="84"/>
    </row>
    <row r="594" spans="6:6">
      <c r="F594" s="84"/>
    </row>
    <row r="595" spans="6:6">
      <c r="F595" s="84"/>
    </row>
    <row r="596" spans="6:6">
      <c r="F596" s="84"/>
    </row>
    <row r="597" spans="6:6">
      <c r="F597" s="84"/>
    </row>
    <row r="598" spans="6:6">
      <c r="F598" s="84"/>
    </row>
    <row r="599" spans="6:6">
      <c r="F599" s="84"/>
    </row>
    <row r="600" spans="6:6">
      <c r="F600" s="84"/>
    </row>
    <row r="601" spans="6:6">
      <c r="F601" s="84"/>
    </row>
    <row r="602" spans="6:6">
      <c r="F602" s="84"/>
    </row>
    <row r="603" spans="6:6">
      <c r="F603" s="84"/>
    </row>
    <row r="604" spans="6:6">
      <c r="F604" s="84"/>
    </row>
    <row r="605" spans="6:6">
      <c r="F605" s="84"/>
    </row>
    <row r="606" spans="6:6">
      <c r="F606" s="84"/>
    </row>
    <row r="607" spans="6:6">
      <c r="F607" s="84"/>
    </row>
    <row r="608" spans="6:6">
      <c r="F608" s="84"/>
    </row>
    <row r="609" spans="6:6">
      <c r="F609" s="84"/>
    </row>
    <row r="610" spans="6:6">
      <c r="F610" s="84"/>
    </row>
    <row r="611" spans="6:6">
      <c r="F611" s="84"/>
    </row>
    <row r="612" spans="6:6">
      <c r="F612" s="84"/>
    </row>
    <row r="613" spans="6:6">
      <c r="F613" s="84"/>
    </row>
    <row r="614" spans="6:6">
      <c r="F614" s="84"/>
    </row>
    <row r="615" spans="6:6">
      <c r="F615" s="84"/>
    </row>
    <row r="616" spans="6:6">
      <c r="F616" s="84"/>
    </row>
    <row r="617" spans="6:6">
      <c r="F617" s="84"/>
    </row>
    <row r="618" spans="6:6">
      <c r="F618" s="84"/>
    </row>
    <row r="619" spans="6:6">
      <c r="F619" s="84"/>
    </row>
    <row r="620" spans="6:6">
      <c r="F620" s="84"/>
    </row>
    <row r="621" spans="6:6">
      <c r="F621" s="84"/>
    </row>
    <row r="622" spans="6:6">
      <c r="F622" s="84"/>
    </row>
    <row r="623" spans="6:6">
      <c r="F623" s="84"/>
    </row>
    <row r="624" spans="6:6">
      <c r="F624" s="84"/>
    </row>
    <row r="625" spans="6:6">
      <c r="F625" s="84"/>
    </row>
    <row r="626" spans="6:6">
      <c r="F626" s="84"/>
    </row>
    <row r="627" spans="6:6">
      <c r="F627" s="84"/>
    </row>
    <row r="628" spans="6:6">
      <c r="F628" s="84"/>
    </row>
    <row r="629" spans="6:6">
      <c r="F629" s="84"/>
    </row>
    <row r="630" spans="6:6">
      <c r="F630" s="84"/>
    </row>
    <row r="631" spans="6:6">
      <c r="F631" s="84"/>
    </row>
    <row r="632" spans="6:6">
      <c r="F632" s="84"/>
    </row>
    <row r="633" spans="6:6">
      <c r="F633" s="84"/>
    </row>
    <row r="634" spans="6:6">
      <c r="F634" s="84"/>
    </row>
    <row r="635" spans="6:6">
      <c r="F635" s="84"/>
    </row>
    <row r="636" spans="6:6">
      <c r="F636" s="84"/>
    </row>
    <row r="637" spans="6:6">
      <c r="F637" s="84"/>
    </row>
    <row r="638" spans="6:6">
      <c r="F638" s="84"/>
    </row>
    <row r="639" spans="6:6">
      <c r="F639" s="84"/>
    </row>
    <row r="640" spans="6:6">
      <c r="F640" s="84"/>
    </row>
    <row r="641" spans="6:6">
      <c r="F641" s="84"/>
    </row>
    <row r="642" spans="6:6">
      <c r="F642" s="84"/>
    </row>
    <row r="643" spans="6:6">
      <c r="F643" s="84"/>
    </row>
    <row r="644" spans="6:6">
      <c r="F644" s="84"/>
    </row>
    <row r="645" spans="6:6">
      <c r="F645" s="84"/>
    </row>
    <row r="646" spans="6:6">
      <c r="F646" s="84"/>
    </row>
    <row r="647" spans="6:6">
      <c r="F647" s="84"/>
    </row>
    <row r="648" spans="6:6">
      <c r="F648" s="84"/>
    </row>
    <row r="649" spans="6:6">
      <c r="F649" s="84"/>
    </row>
    <row r="650" spans="6:6">
      <c r="F650" s="84"/>
    </row>
    <row r="651" spans="6:6">
      <c r="F651" s="84"/>
    </row>
    <row r="652" spans="6:6">
      <c r="F652" s="84"/>
    </row>
    <row r="653" spans="6:6">
      <c r="F653" s="84"/>
    </row>
    <row r="654" spans="6:6">
      <c r="F654" s="84"/>
    </row>
    <row r="655" spans="6:6">
      <c r="F655" s="84"/>
    </row>
    <row r="656" spans="6:6">
      <c r="F656" s="84"/>
    </row>
    <row r="657" spans="6:6">
      <c r="F657" s="84"/>
    </row>
    <row r="658" spans="6:6">
      <c r="F658" s="84"/>
    </row>
    <row r="659" spans="6:6">
      <c r="F659" s="84"/>
    </row>
    <row r="660" spans="6:6">
      <c r="F660" s="84"/>
    </row>
    <row r="661" spans="6:6">
      <c r="F661" s="84"/>
    </row>
    <row r="662" spans="6:6">
      <c r="F662" s="84"/>
    </row>
    <row r="663" spans="6:6">
      <c r="F663" s="84"/>
    </row>
    <row r="664" spans="6:6">
      <c r="F664" s="84"/>
    </row>
    <row r="665" spans="6:6">
      <c r="F665" s="84"/>
    </row>
    <row r="666" spans="6:6">
      <c r="F666" s="84"/>
    </row>
    <row r="667" spans="6:6">
      <c r="F667" s="84"/>
    </row>
    <row r="668" spans="6:6">
      <c r="F668" s="84"/>
    </row>
    <row r="669" spans="6:6">
      <c r="F669" s="84"/>
    </row>
    <row r="670" spans="6:6">
      <c r="F670" s="84"/>
    </row>
    <row r="671" spans="6:6">
      <c r="F671" s="84"/>
    </row>
    <row r="672" spans="6:6">
      <c r="F672" s="84"/>
    </row>
    <row r="673" spans="6:6">
      <c r="F673" s="84"/>
    </row>
    <row r="674" spans="6:6">
      <c r="F674" s="84"/>
    </row>
    <row r="675" spans="6:6">
      <c r="F675" s="84"/>
    </row>
  </sheetData>
  <customSheetViews>
    <customSheetView guid="{FBB3E572-A647-4B8C-96C7-F43FE4F7CAA8}" showPageBreaks="1" fitToPage="1" printArea="1" hiddenColumns="1" view="pageBreakPreview">
      <pane ySplit="4" topLeftCell="A14" activePane="bottomLeft" state="frozen"/>
      <selection pane="bottomLeft" activeCell="J43" sqref="J43"/>
      <pageMargins left="0.66" right="0.27559055118110237" top="0.39370078740157483" bottom="0.23622047244094491" header="0.31496062992125984" footer="0.19685039370078741"/>
      <pageSetup paperSize="9" orientation="portrait" verticalDpi="0" r:id="rId1"/>
    </customSheetView>
    <customSheetView guid="{900EF7B2-0D63-4DE2-9CFC-2D2B3788802C}" showPageBreaks="1" fitToPage="1" printArea="1" hiddenColumns="1" view="pageBreakPreview">
      <pane ySplit="4" topLeftCell="A5" activePane="bottomLeft" state="frozen"/>
      <selection pane="bottomLeft" activeCell="J43" sqref="J43"/>
      <pageMargins left="0.66" right="0.27559055118110237" top="0.39370078740157483" bottom="0.23622047244094491" header="0.31496062992125984" footer="0.19685039370078741"/>
      <pageSetup paperSize="9" orientation="portrait" verticalDpi="0" r:id="rId2"/>
    </customSheetView>
    <customSheetView guid="{CC6D6007-EFDE-464F-BD7C-A67043AC5D5C}" showPageBreaks="1" fitToPage="1" printArea="1" hiddenColumns="1" view="pageBreakPreview">
      <pane ySplit="4" topLeftCell="A8" activePane="bottomLeft" state="frozen"/>
      <selection pane="bottomLeft" activeCell="B21" sqref="B21"/>
      <pageMargins left="0.66" right="0.27559055118110237" top="0.39370078740157483" bottom="0.23622047244094491" header="0.31496062992125984" footer="0.19685039370078741"/>
      <pageSetup paperSize="9" orientation="portrait" verticalDpi="0" r:id="rId3"/>
    </customSheetView>
    <customSheetView guid="{C0FE86CC-5BB4-4265-957F-F51B909B3E81}" showPageBreaks="1" fitToPage="1" printArea="1" hiddenColumns="1" view="pageBreakPreview">
      <pane ySplit="4" topLeftCell="A14" activePane="bottomLeft" state="frozen"/>
      <selection pane="bottomLeft" activeCell="J43" sqref="J43"/>
      <pageMargins left="0.66" right="0.27559055118110237" top="0.39370078740157483" bottom="0.23622047244094491" header="0.31496062992125984" footer="0.19685039370078741"/>
      <pageSetup paperSize="9" orientation="portrait" verticalDpi="0" r:id="rId4"/>
    </customSheetView>
  </customSheetViews>
  <mergeCells count="6">
    <mergeCell ref="I3:I4"/>
    <mergeCell ref="D3:D4"/>
    <mergeCell ref="B3:B4"/>
    <mergeCell ref="C3:C4"/>
    <mergeCell ref="E3:F3"/>
    <mergeCell ref="H3:H4"/>
  </mergeCells>
  <pageMargins left="0.66" right="0.27559055118110237" top="0.39370078740157483" bottom="0.23622047244094491" header="0.31496062992125984" footer="0.19685039370078741"/>
  <pageSetup paperSize="9" orientation="portrait" verticalDpi="0" r:id="rId5"/>
  <legacyDrawing r:id="rId6"/>
</worksheet>
</file>

<file path=xl/worksheets/sheet11.xml><?xml version="1.0" encoding="utf-8"?>
<worksheet xmlns="http://schemas.openxmlformats.org/spreadsheetml/2006/main" xmlns:r="http://schemas.openxmlformats.org/officeDocument/2006/relationships">
  <dimension ref="A1:S36"/>
  <sheetViews>
    <sheetView topLeftCell="A16" workbookViewId="0">
      <selection activeCell="H29" sqref="H29"/>
    </sheetView>
  </sheetViews>
  <sheetFormatPr defaultRowHeight="15"/>
  <cols>
    <col min="1" max="1" width="34.42578125" customWidth="1"/>
    <col min="3" max="3" width="12.28515625" customWidth="1"/>
    <col min="4" max="4" width="13.7109375" customWidth="1"/>
    <col min="5" max="5" width="10.5703125" customWidth="1"/>
    <col min="14" max="14" width="9" customWidth="1"/>
    <col min="15" max="15" width="8.7109375" hidden="1" customWidth="1"/>
    <col min="16" max="19" width="9.140625" hidden="1" customWidth="1"/>
  </cols>
  <sheetData>
    <row r="1" spans="1:18" ht="28.5" customHeight="1">
      <c r="A1" s="577" t="s">
        <v>928</v>
      </c>
      <c r="B1" s="577"/>
      <c r="C1" s="577"/>
      <c r="D1" s="577"/>
      <c r="E1" s="577"/>
      <c r="F1" s="577"/>
      <c r="G1" s="577"/>
      <c r="H1" s="577"/>
    </row>
    <row r="2" spans="1:18" ht="20.25">
      <c r="A2" s="483" t="s">
        <v>780</v>
      </c>
      <c r="B2" s="484"/>
      <c r="C2" s="484"/>
      <c r="D2" s="484"/>
      <c r="E2" s="484"/>
      <c r="F2" s="484"/>
      <c r="G2" s="484"/>
      <c r="H2" s="484"/>
      <c r="I2" s="484"/>
      <c r="J2" s="484"/>
      <c r="K2" s="484"/>
      <c r="L2" s="484"/>
      <c r="M2" s="484"/>
      <c r="N2" s="484"/>
      <c r="O2" s="485"/>
    </row>
    <row r="3" spans="1:18" ht="43.5" thickBot="1">
      <c r="A3" s="486" t="s">
        <v>781</v>
      </c>
      <c r="B3" s="486" t="s">
        <v>186</v>
      </c>
      <c r="C3" s="486" t="s">
        <v>782</v>
      </c>
      <c r="D3" s="486" t="s">
        <v>783</v>
      </c>
      <c r="E3" s="487" t="s">
        <v>784</v>
      </c>
      <c r="F3" s="488"/>
      <c r="G3" s="488"/>
      <c r="H3" s="488"/>
      <c r="I3" s="488"/>
      <c r="J3" s="488"/>
      <c r="K3" s="488"/>
      <c r="L3" s="488"/>
      <c r="M3" s="488"/>
      <c r="N3" s="488"/>
      <c r="O3" s="489"/>
    </row>
    <row r="4" spans="1:18" ht="15.75" thickBot="1">
      <c r="A4" s="490"/>
      <c r="B4" s="490"/>
      <c r="C4" s="490"/>
      <c r="D4" s="490"/>
      <c r="E4" s="491">
        <v>0.35</v>
      </c>
      <c r="F4" s="487">
        <v>0.4</v>
      </c>
      <c r="G4" s="488">
        <v>0.45</v>
      </c>
      <c r="H4" s="491">
        <v>0.5</v>
      </c>
      <c r="I4" s="492">
        <v>0.55000000000000004</v>
      </c>
      <c r="J4" s="487">
        <v>0.6</v>
      </c>
      <c r="K4" s="493"/>
      <c r="L4" s="493"/>
      <c r="M4" s="494"/>
      <c r="N4" s="494"/>
      <c r="O4" s="494"/>
      <c r="P4" s="573">
        <v>0.4</v>
      </c>
      <c r="Q4" s="574">
        <v>0.5</v>
      </c>
      <c r="R4" s="575">
        <v>0.6</v>
      </c>
    </row>
    <row r="5" spans="1:18" ht="15.75">
      <c r="A5" s="495" t="s">
        <v>785</v>
      </c>
      <c r="B5" s="496" t="s">
        <v>786</v>
      </c>
      <c r="C5" s="496">
        <v>1512</v>
      </c>
      <c r="D5" s="497">
        <v>54</v>
      </c>
      <c r="E5" s="498"/>
      <c r="F5" s="499">
        <v>35</v>
      </c>
      <c r="G5" s="499"/>
      <c r="H5" s="499">
        <v>40</v>
      </c>
      <c r="I5" s="499"/>
      <c r="J5" s="499">
        <v>48</v>
      </c>
      <c r="K5" s="493"/>
      <c r="L5" s="493"/>
      <c r="M5" s="494"/>
      <c r="N5" s="494"/>
      <c r="O5" s="494"/>
      <c r="P5" s="578">
        <v>25.43</v>
      </c>
      <c r="Q5" s="578">
        <v>29.1</v>
      </c>
      <c r="R5" s="578">
        <v>37.11</v>
      </c>
    </row>
    <row r="6" spans="1:18" ht="15.75">
      <c r="A6" s="495" t="s">
        <v>787</v>
      </c>
      <c r="B6" s="496" t="s">
        <v>786</v>
      </c>
      <c r="C6" s="496">
        <v>2688</v>
      </c>
      <c r="D6" s="497">
        <v>96</v>
      </c>
      <c r="E6" s="498"/>
      <c r="F6" s="499">
        <v>20</v>
      </c>
      <c r="G6" s="499"/>
      <c r="H6" s="499">
        <v>25</v>
      </c>
      <c r="I6" s="499"/>
      <c r="J6" s="499">
        <v>35</v>
      </c>
      <c r="K6" s="493"/>
      <c r="L6" s="493"/>
      <c r="M6" s="494"/>
      <c r="N6" s="494"/>
      <c r="O6" s="494"/>
      <c r="P6" s="499">
        <v>15.45</v>
      </c>
      <c r="Q6" s="499">
        <v>17.55</v>
      </c>
      <c r="R6" s="499">
        <v>22.4</v>
      </c>
    </row>
    <row r="7" spans="1:18" ht="15.75">
      <c r="A7" s="495" t="s">
        <v>788</v>
      </c>
      <c r="B7" s="496" t="s">
        <v>786</v>
      </c>
      <c r="C7" s="496">
        <v>1080</v>
      </c>
      <c r="D7" s="497">
        <v>54</v>
      </c>
      <c r="E7" s="498"/>
      <c r="F7" s="499">
        <v>48</v>
      </c>
      <c r="G7" s="499"/>
      <c r="H7" s="499">
        <v>55</v>
      </c>
      <c r="I7" s="499"/>
      <c r="J7" s="499">
        <v>70</v>
      </c>
      <c r="K7" s="493"/>
      <c r="L7" s="493"/>
      <c r="M7" s="494"/>
      <c r="N7" s="494"/>
      <c r="O7" s="494"/>
      <c r="P7" s="499">
        <v>35.47</v>
      </c>
      <c r="Q7" s="499">
        <v>41.25</v>
      </c>
      <c r="R7" s="499">
        <v>51.79</v>
      </c>
    </row>
    <row r="8" spans="1:18" ht="15.75">
      <c r="A8" s="495" t="s">
        <v>789</v>
      </c>
      <c r="B8" s="496" t="s">
        <v>786</v>
      </c>
      <c r="C8" s="496">
        <v>1080</v>
      </c>
      <c r="D8" s="497">
        <v>54</v>
      </c>
      <c r="E8" s="498"/>
      <c r="F8" s="499">
        <v>38</v>
      </c>
      <c r="G8" s="499"/>
      <c r="H8" s="499">
        <v>45</v>
      </c>
      <c r="I8" s="499"/>
      <c r="J8" s="499">
        <v>62</v>
      </c>
      <c r="K8" s="493"/>
      <c r="L8" s="493"/>
      <c r="M8" s="494"/>
      <c r="N8" s="494"/>
      <c r="O8" s="494"/>
      <c r="P8" s="499">
        <v>27.21</v>
      </c>
      <c r="Q8" s="499">
        <v>31.76</v>
      </c>
      <c r="R8" s="499">
        <v>41.57</v>
      </c>
    </row>
    <row r="9" spans="1:18" ht="15.75">
      <c r="A9" s="495" t="s">
        <v>790</v>
      </c>
      <c r="B9" s="496" t="s">
        <v>786</v>
      </c>
      <c r="C9" s="496">
        <v>720</v>
      </c>
      <c r="D9" s="497">
        <v>36</v>
      </c>
      <c r="E9" s="498"/>
      <c r="F9" s="499">
        <v>55</v>
      </c>
      <c r="G9" s="499"/>
      <c r="H9" s="499">
        <v>60</v>
      </c>
      <c r="I9" s="499"/>
      <c r="J9" s="499">
        <v>78</v>
      </c>
      <c r="K9" s="493"/>
      <c r="L9" s="493"/>
      <c r="M9" s="494"/>
      <c r="N9" s="494"/>
      <c r="O9" s="494"/>
      <c r="P9" s="499">
        <v>41.28</v>
      </c>
      <c r="Q9" s="499">
        <v>46.77</v>
      </c>
      <c r="R9" s="499">
        <v>60.36</v>
      </c>
    </row>
    <row r="10" spans="1:18" ht="15.75">
      <c r="A10" s="495" t="s">
        <v>791</v>
      </c>
      <c r="B10" s="496" t="s">
        <v>786</v>
      </c>
      <c r="C10" s="496">
        <v>900</v>
      </c>
      <c r="D10" s="497">
        <v>36</v>
      </c>
      <c r="E10" s="498"/>
      <c r="F10" s="499">
        <v>45</v>
      </c>
      <c r="G10" s="499"/>
      <c r="H10" s="499">
        <v>50</v>
      </c>
      <c r="I10" s="499"/>
      <c r="J10" s="499">
        <v>68</v>
      </c>
      <c r="K10" s="493"/>
      <c r="L10" s="493"/>
      <c r="M10" s="494"/>
      <c r="N10" s="494"/>
      <c r="O10" s="494"/>
      <c r="P10" s="499">
        <v>33.49</v>
      </c>
      <c r="Q10" s="499">
        <v>37.950000000000003</v>
      </c>
      <c r="R10" s="499">
        <v>51.31</v>
      </c>
    </row>
    <row r="11" spans="1:18" ht="15.75">
      <c r="A11" s="495" t="s">
        <v>792</v>
      </c>
      <c r="B11" s="496" t="s">
        <v>786</v>
      </c>
      <c r="C11" s="496">
        <v>720</v>
      </c>
      <c r="D11" s="497">
        <v>36</v>
      </c>
      <c r="E11" s="498"/>
      <c r="F11" s="499">
        <v>60</v>
      </c>
      <c r="G11" s="500"/>
      <c r="H11" s="499">
        <v>70</v>
      </c>
      <c r="I11" s="500"/>
      <c r="J11" s="499">
        <v>90</v>
      </c>
      <c r="K11" s="493"/>
      <c r="L11" s="493"/>
      <c r="M11" s="494"/>
      <c r="N11" s="494"/>
      <c r="O11" s="494"/>
      <c r="P11" s="500">
        <v>46.85</v>
      </c>
      <c r="Q11" s="500">
        <v>53.12</v>
      </c>
      <c r="R11" s="500">
        <v>65.83</v>
      </c>
    </row>
    <row r="12" spans="1:18" ht="15.75">
      <c r="A12" s="495" t="s">
        <v>793</v>
      </c>
      <c r="B12" s="496" t="s">
        <v>786</v>
      </c>
      <c r="C12" s="496">
        <v>720</v>
      </c>
      <c r="D12" s="497">
        <v>36</v>
      </c>
      <c r="E12" s="498"/>
      <c r="F12" s="499">
        <v>50</v>
      </c>
      <c r="G12" s="500"/>
      <c r="H12" s="499">
        <v>60</v>
      </c>
      <c r="I12" s="500"/>
      <c r="J12" s="499">
        <v>75</v>
      </c>
      <c r="K12" s="493"/>
      <c r="L12" s="493"/>
      <c r="M12" s="494"/>
      <c r="N12" s="494"/>
      <c r="O12" s="494"/>
      <c r="P12" s="500">
        <v>38.72</v>
      </c>
      <c r="Q12" s="500">
        <v>43.91</v>
      </c>
      <c r="R12" s="500">
        <v>54.39</v>
      </c>
    </row>
    <row r="13" spans="1:18" ht="15.75">
      <c r="A13" s="495" t="s">
        <v>794</v>
      </c>
      <c r="B13" s="496" t="s">
        <v>786</v>
      </c>
      <c r="C13" s="496">
        <v>1890</v>
      </c>
      <c r="D13" s="497">
        <v>54</v>
      </c>
      <c r="E13" s="500"/>
      <c r="F13" s="500"/>
      <c r="G13" s="500"/>
      <c r="H13" s="500"/>
      <c r="I13" s="500"/>
      <c r="J13" s="500"/>
      <c r="K13" s="493"/>
      <c r="L13" s="493"/>
      <c r="M13" s="494"/>
      <c r="N13" s="494"/>
      <c r="O13" s="494"/>
      <c r="P13" s="571"/>
      <c r="Q13" s="571"/>
      <c r="R13" s="571"/>
    </row>
    <row r="14" spans="1:18" ht="15.75">
      <c r="A14" s="495" t="s">
        <v>795</v>
      </c>
      <c r="B14" s="496" t="s">
        <v>786</v>
      </c>
      <c r="C14" s="496">
        <v>2100</v>
      </c>
      <c r="D14" s="497">
        <v>60</v>
      </c>
      <c r="E14" s="500"/>
      <c r="F14" s="500"/>
      <c r="G14" s="500"/>
      <c r="H14" s="500"/>
      <c r="I14" s="500"/>
      <c r="J14" s="500"/>
      <c r="K14" s="493"/>
      <c r="L14" s="493"/>
      <c r="M14" s="494"/>
      <c r="N14" s="494"/>
      <c r="O14" s="494"/>
      <c r="P14" s="571"/>
      <c r="Q14" s="571"/>
      <c r="R14" s="571"/>
    </row>
    <row r="15" spans="1:18">
      <c r="A15" s="501"/>
      <c r="B15" s="502"/>
      <c r="C15" s="502"/>
      <c r="D15" s="503"/>
      <c r="E15" s="504"/>
      <c r="F15" s="503"/>
      <c r="G15" s="503"/>
      <c r="H15" s="503"/>
      <c r="I15" s="503"/>
      <c r="J15" s="503"/>
      <c r="K15" s="503"/>
      <c r="L15" s="503"/>
      <c r="M15" s="503"/>
      <c r="N15" s="503"/>
      <c r="O15" s="503"/>
    </row>
    <row r="16" spans="1:18" ht="39.75" customHeight="1">
      <c r="A16" s="505" t="s">
        <v>796</v>
      </c>
      <c r="B16" s="505"/>
      <c r="C16" s="505"/>
      <c r="D16" s="505"/>
      <c r="E16" s="505"/>
      <c r="F16" s="505"/>
      <c r="G16" s="505"/>
      <c r="H16" s="505"/>
      <c r="I16" s="505"/>
      <c r="J16" s="505"/>
      <c r="K16" s="505"/>
      <c r="L16" s="505"/>
      <c r="M16" s="505"/>
      <c r="N16" s="505"/>
      <c r="O16" s="506"/>
    </row>
    <row r="17" spans="1:19" ht="46.5" customHeight="1">
      <c r="A17" s="486" t="s">
        <v>781</v>
      </c>
      <c r="B17" s="486" t="s">
        <v>186</v>
      </c>
      <c r="C17" s="486" t="s">
        <v>797</v>
      </c>
      <c r="D17" s="486" t="s">
        <v>798</v>
      </c>
      <c r="E17" s="507" t="s">
        <v>799</v>
      </c>
      <c r="F17" s="508"/>
      <c r="G17" s="508"/>
      <c r="H17" s="508"/>
      <c r="I17" s="508"/>
      <c r="J17" s="508"/>
      <c r="K17" s="508"/>
      <c r="L17" s="508"/>
      <c r="M17" s="508"/>
      <c r="N17" s="509"/>
      <c r="O17" s="510"/>
    </row>
    <row r="18" spans="1:19" ht="15.75" thickBot="1">
      <c r="A18" s="490"/>
      <c r="B18" s="490"/>
      <c r="C18" s="490"/>
      <c r="D18" s="490"/>
      <c r="E18" s="511"/>
      <c r="F18" s="512"/>
      <c r="G18" s="512"/>
      <c r="H18" s="512"/>
      <c r="I18" s="512"/>
      <c r="J18" s="512"/>
      <c r="K18" s="512"/>
      <c r="L18" s="512"/>
      <c r="M18" s="512"/>
      <c r="N18" s="513"/>
      <c r="O18" s="510"/>
    </row>
    <row r="19" spans="1:19" ht="15.75" thickBot="1">
      <c r="A19" s="490"/>
      <c r="B19" s="490"/>
      <c r="C19" s="490"/>
      <c r="D19" s="490"/>
      <c r="E19" s="514"/>
      <c r="F19" s="515">
        <v>0.25</v>
      </c>
      <c r="G19" s="516"/>
      <c r="H19" s="517"/>
      <c r="I19" s="518"/>
      <c r="J19" s="518">
        <v>0.3</v>
      </c>
      <c r="K19" s="518"/>
      <c r="L19" s="515">
        <v>0.35</v>
      </c>
      <c r="M19" s="516"/>
      <c r="N19" s="517"/>
      <c r="O19" s="519"/>
      <c r="P19" s="580">
        <v>0.25</v>
      </c>
    </row>
    <row r="20" spans="1:19" ht="14.1" customHeight="1">
      <c r="A20" s="520" t="s">
        <v>800</v>
      </c>
      <c r="B20" s="521" t="s">
        <v>786</v>
      </c>
      <c r="C20" s="521">
        <v>9000</v>
      </c>
      <c r="D20" s="522"/>
      <c r="E20" s="498"/>
      <c r="F20" s="571">
        <f>P20*1.3</f>
        <v>8.9700000000000006</v>
      </c>
      <c r="G20" s="524"/>
      <c r="H20" s="525"/>
      <c r="I20" s="523"/>
      <c r="J20" s="526"/>
      <c r="K20" s="485"/>
      <c r="L20" s="523"/>
      <c r="M20" s="524"/>
      <c r="N20" s="525"/>
      <c r="O20" s="527"/>
      <c r="P20" s="579">
        <v>6.9</v>
      </c>
    </row>
    <row r="21" spans="1:19" ht="14.1" customHeight="1">
      <c r="A21" s="520" t="s">
        <v>801</v>
      </c>
      <c r="B21" s="521" t="s">
        <v>786</v>
      </c>
      <c r="C21" s="521">
        <v>12600</v>
      </c>
      <c r="D21" s="522">
        <v>3000</v>
      </c>
      <c r="E21" s="498"/>
      <c r="F21" s="571">
        <f t="shared" ref="F21:F27" si="0">P21*1.3</f>
        <v>8.4629999999999992</v>
      </c>
      <c r="G21" s="524"/>
      <c r="H21" s="525"/>
      <c r="I21" s="523"/>
      <c r="J21" s="526"/>
      <c r="K21" s="485"/>
      <c r="L21" s="528"/>
      <c r="M21" s="529"/>
      <c r="N21" s="530"/>
      <c r="O21" s="527"/>
      <c r="P21" s="498">
        <v>6.51</v>
      </c>
    </row>
    <row r="22" spans="1:19" ht="14.1" customHeight="1">
      <c r="A22" s="531" t="s">
        <v>802</v>
      </c>
      <c r="B22" s="521" t="s">
        <v>786</v>
      </c>
      <c r="C22" s="521">
        <v>9000</v>
      </c>
      <c r="D22" s="522"/>
      <c r="E22" s="498"/>
      <c r="F22" s="571">
        <f t="shared" si="0"/>
        <v>11.206</v>
      </c>
      <c r="G22" s="533"/>
      <c r="H22" s="534"/>
      <c r="I22" s="523"/>
      <c r="J22" s="526"/>
      <c r="K22" s="485"/>
      <c r="L22" s="523"/>
      <c r="M22" s="524"/>
      <c r="N22" s="525"/>
      <c r="O22" s="527"/>
      <c r="P22" s="499">
        <v>8.6199999999999992</v>
      </c>
    </row>
    <row r="23" spans="1:19" ht="14.1" customHeight="1">
      <c r="A23" s="531" t="s">
        <v>803</v>
      </c>
      <c r="B23" s="521" t="s">
        <v>786</v>
      </c>
      <c r="C23" s="521">
        <v>10800</v>
      </c>
      <c r="D23" s="522">
        <v>2700</v>
      </c>
      <c r="E23" s="498"/>
      <c r="F23" s="571">
        <f t="shared" si="0"/>
        <v>10.439</v>
      </c>
      <c r="G23" s="533"/>
      <c r="H23" s="534"/>
      <c r="I23" s="523"/>
      <c r="J23" s="526"/>
      <c r="K23" s="485"/>
      <c r="L23" s="528"/>
      <c r="M23" s="529"/>
      <c r="N23" s="530"/>
      <c r="O23" s="527"/>
      <c r="P23" s="499">
        <v>8.0299999999999994</v>
      </c>
    </row>
    <row r="24" spans="1:19" ht="14.1" customHeight="1">
      <c r="A24" s="535" t="s">
        <v>804</v>
      </c>
      <c r="B24" s="521" t="s">
        <v>786</v>
      </c>
      <c r="C24" s="521">
        <v>4500</v>
      </c>
      <c r="D24" s="522">
        <v>2100</v>
      </c>
      <c r="E24" s="498"/>
      <c r="F24" s="571">
        <f t="shared" si="0"/>
        <v>15.756</v>
      </c>
      <c r="G24" s="533"/>
      <c r="H24" s="534"/>
      <c r="I24" s="523"/>
      <c r="J24" s="526"/>
      <c r="K24" s="485"/>
      <c r="L24" s="523"/>
      <c r="M24" s="524"/>
      <c r="N24" s="525"/>
      <c r="O24" s="527"/>
      <c r="P24" s="499">
        <v>12.12</v>
      </c>
    </row>
    <row r="25" spans="1:19" ht="14.1" customHeight="1">
      <c r="A25" s="535" t="s">
        <v>805</v>
      </c>
      <c r="B25" s="521" t="s">
        <v>786</v>
      </c>
      <c r="C25" s="521">
        <v>12600</v>
      </c>
      <c r="D25" s="522">
        <v>4800</v>
      </c>
      <c r="E25" s="498"/>
      <c r="F25" s="571">
        <f t="shared" si="0"/>
        <v>5.9540000000000006</v>
      </c>
      <c r="G25" s="533"/>
      <c r="H25" s="534"/>
      <c r="I25" s="523"/>
      <c r="J25" s="526"/>
      <c r="K25" s="485"/>
      <c r="L25" s="536"/>
      <c r="M25" s="537"/>
      <c r="N25" s="538"/>
      <c r="O25" s="527"/>
      <c r="P25" s="499">
        <v>4.58</v>
      </c>
    </row>
    <row r="26" spans="1:19" ht="14.1" customHeight="1">
      <c r="A26" s="535" t="s">
        <v>806</v>
      </c>
      <c r="B26" s="521" t="s">
        <v>786</v>
      </c>
      <c r="C26" s="521">
        <v>8400</v>
      </c>
      <c r="D26" s="522">
        <v>3000</v>
      </c>
      <c r="E26" s="498"/>
      <c r="F26" s="571">
        <f t="shared" si="0"/>
        <v>7.7220000000000004</v>
      </c>
      <c r="G26" s="533"/>
      <c r="H26" s="534"/>
      <c r="I26" s="523"/>
      <c r="J26" s="526"/>
      <c r="K26" s="485"/>
      <c r="L26" s="536"/>
      <c r="M26" s="537"/>
      <c r="N26" s="538"/>
      <c r="O26" s="527"/>
      <c r="P26" s="499">
        <v>5.94</v>
      </c>
    </row>
    <row r="27" spans="1:19" ht="14.1" customHeight="1">
      <c r="A27" s="535" t="s">
        <v>807</v>
      </c>
      <c r="B27" s="521" t="s">
        <v>786</v>
      </c>
      <c r="C27" s="521">
        <v>8400</v>
      </c>
      <c r="D27" s="522">
        <v>3000</v>
      </c>
      <c r="E27" s="498"/>
      <c r="F27" s="571">
        <f t="shared" si="0"/>
        <v>8.4890000000000008</v>
      </c>
      <c r="G27" s="539"/>
      <c r="H27" s="540"/>
      <c r="I27" s="523"/>
      <c r="J27" s="526"/>
      <c r="K27" s="485"/>
      <c r="L27" s="523"/>
      <c r="M27" s="524"/>
      <c r="N27" s="525"/>
      <c r="O27" s="527"/>
      <c r="P27" s="498">
        <v>6.53</v>
      </c>
    </row>
    <row r="28" spans="1:19">
      <c r="A28" s="501"/>
      <c r="B28" s="502"/>
      <c r="C28" s="502"/>
      <c r="D28" s="541"/>
      <c r="E28" s="541"/>
      <c r="F28" s="541"/>
      <c r="G28" s="541"/>
      <c r="H28" s="541"/>
      <c r="I28" s="541"/>
      <c r="J28" s="541"/>
      <c r="K28" s="541"/>
      <c r="L28" s="541"/>
      <c r="M28" s="541"/>
      <c r="N28" s="541"/>
      <c r="O28" s="541"/>
    </row>
    <row r="29" spans="1:19">
      <c r="A29" s="501"/>
      <c r="B29" s="502"/>
      <c r="C29" s="502"/>
      <c r="D29" s="541"/>
      <c r="E29" s="541"/>
      <c r="F29" s="541"/>
      <c r="G29" s="541"/>
      <c r="H29" s="541"/>
      <c r="I29" s="541"/>
      <c r="J29" s="541"/>
      <c r="K29" s="541"/>
      <c r="L29" s="541"/>
      <c r="M29" s="541"/>
      <c r="N29" s="541"/>
      <c r="O29" s="541"/>
    </row>
    <row r="30" spans="1:19" ht="20.25">
      <c r="A30" s="542" t="s">
        <v>808</v>
      </c>
      <c r="B30" s="542"/>
      <c r="C30" s="542"/>
      <c r="D30" s="542"/>
      <c r="E30" s="542"/>
      <c r="F30" s="542"/>
      <c r="G30" s="542"/>
      <c r="H30" s="542"/>
      <c r="I30" s="542"/>
      <c r="J30" s="542"/>
      <c r="K30" s="542"/>
      <c r="L30" s="542"/>
      <c r="M30" s="542"/>
      <c r="N30" s="542"/>
      <c r="O30" s="543"/>
    </row>
    <row r="31" spans="1:19" ht="29.25" thickBot="1">
      <c r="A31" s="486" t="s">
        <v>781</v>
      </c>
      <c r="B31" s="486" t="s">
        <v>186</v>
      </c>
      <c r="C31" s="486" t="s">
        <v>809</v>
      </c>
      <c r="D31" s="486" t="s">
        <v>810</v>
      </c>
      <c r="E31" s="490" t="s">
        <v>784</v>
      </c>
      <c r="F31" s="490"/>
      <c r="G31" s="490"/>
      <c r="H31" s="490"/>
      <c r="I31" s="490"/>
      <c r="J31" s="490"/>
      <c r="K31" s="490"/>
      <c r="L31" s="490"/>
      <c r="M31" s="490"/>
      <c r="N31" s="490"/>
      <c r="O31" s="519"/>
    </row>
    <row r="32" spans="1:19" ht="15.75" thickBot="1">
      <c r="A32" s="490"/>
      <c r="B32" s="490"/>
      <c r="C32" s="490"/>
      <c r="D32" s="490"/>
      <c r="E32" s="544">
        <v>0.4</v>
      </c>
      <c r="F32" s="491">
        <v>0.45</v>
      </c>
      <c r="G32" s="491"/>
      <c r="H32" s="491">
        <v>0.5</v>
      </c>
      <c r="I32" s="491"/>
      <c r="J32" s="491">
        <v>0.6</v>
      </c>
      <c r="K32" s="491"/>
      <c r="L32" s="491">
        <v>0.7</v>
      </c>
      <c r="M32" s="545"/>
      <c r="N32" s="545">
        <v>0.9</v>
      </c>
      <c r="O32" s="546"/>
      <c r="P32" s="581">
        <v>0.4</v>
      </c>
      <c r="Q32" s="582">
        <v>0.6</v>
      </c>
      <c r="R32" s="582">
        <v>0.7</v>
      </c>
      <c r="S32" s="583">
        <v>0.9</v>
      </c>
    </row>
    <row r="33" spans="1:19" ht="14.1" customHeight="1">
      <c r="A33" s="547" t="s">
        <v>811</v>
      </c>
      <c r="B33" s="547"/>
      <c r="C33" s="547"/>
      <c r="D33" s="547"/>
      <c r="E33" s="547"/>
      <c r="F33" s="547"/>
      <c r="G33" s="547"/>
      <c r="H33" s="547"/>
      <c r="I33" s="547"/>
      <c r="J33" s="547"/>
      <c r="K33" s="547"/>
      <c r="L33" s="547"/>
      <c r="M33" s="547"/>
      <c r="N33" s="547"/>
      <c r="O33" s="519"/>
      <c r="P33" s="572"/>
      <c r="Q33" s="572"/>
      <c r="R33" s="572"/>
      <c r="S33" s="572"/>
    </row>
    <row r="34" spans="1:19" ht="14.1" customHeight="1">
      <c r="A34" s="548" t="s">
        <v>812</v>
      </c>
      <c r="B34" s="521" t="s">
        <v>217</v>
      </c>
      <c r="C34" s="522">
        <v>45900</v>
      </c>
      <c r="D34" s="549">
        <v>150</v>
      </c>
      <c r="E34" s="550"/>
      <c r="F34" s="499"/>
      <c r="G34" s="499"/>
      <c r="H34" s="499"/>
      <c r="I34" s="499"/>
      <c r="J34">
        <f>Q34*1.3</f>
        <v>4.2120000000000006</v>
      </c>
      <c r="K34" s="499"/>
      <c r="L34">
        <f>R34*1.3</f>
        <v>4.5760000000000005</v>
      </c>
      <c r="M34" s="499"/>
      <c r="N34">
        <f>S34*1.3</f>
        <v>6.1261200000000011</v>
      </c>
      <c r="O34" s="527"/>
      <c r="P34" s="571"/>
      <c r="Q34" s="499">
        <v>3.24</v>
      </c>
      <c r="R34" s="499">
        <v>3.52</v>
      </c>
      <c r="S34" s="499">
        <v>4.7124000000000006</v>
      </c>
    </row>
    <row r="35" spans="1:19" ht="14.1" customHeight="1">
      <c r="A35" s="548" t="s">
        <v>813</v>
      </c>
      <c r="B35" s="521" t="s">
        <v>217</v>
      </c>
      <c r="C35" s="522">
        <v>3000</v>
      </c>
      <c r="D35" s="549">
        <v>60</v>
      </c>
      <c r="E35" s="550"/>
      <c r="F35" s="532"/>
      <c r="G35" s="532"/>
      <c r="H35" s="499"/>
      <c r="I35" s="532"/>
      <c r="J35">
        <f>Q35*1.3</f>
        <v>10.894000000000002</v>
      </c>
      <c r="K35" s="532"/>
      <c r="L35">
        <f>R35*1.3</f>
        <v>11.713000000000001</v>
      </c>
      <c r="M35" s="534"/>
      <c r="N35">
        <f>S35*1.3</f>
        <v>15.808000000000002</v>
      </c>
      <c r="O35" s="527"/>
      <c r="P35" s="571"/>
      <c r="Q35" s="532">
        <v>8.3800000000000008</v>
      </c>
      <c r="R35" s="499">
        <v>9.01</v>
      </c>
      <c r="S35" s="534">
        <v>12.16</v>
      </c>
    </row>
    <row r="36" spans="1:19" ht="14.1" customHeight="1">
      <c r="A36" s="548" t="s">
        <v>814</v>
      </c>
      <c r="B36" s="521" t="s">
        <v>217</v>
      </c>
      <c r="C36" s="522">
        <v>9600</v>
      </c>
      <c r="D36" s="549">
        <v>200</v>
      </c>
      <c r="E36" s="571">
        <f>P36*1.3</f>
        <v>4.173</v>
      </c>
      <c r="F36" s="532"/>
      <c r="G36" s="532"/>
      <c r="H36" s="499"/>
      <c r="I36" s="532"/>
      <c r="J36" s="532"/>
      <c r="K36" s="532"/>
      <c r="L36" s="499"/>
      <c r="M36" s="534"/>
      <c r="N36" s="534"/>
      <c r="O36" s="527"/>
      <c r="P36" s="499">
        <v>3.21</v>
      </c>
      <c r="Q36" s="571"/>
      <c r="R36" s="571"/>
      <c r="S36" s="571"/>
    </row>
  </sheetData>
  <customSheetViews>
    <customSheetView guid="{FBB3E572-A647-4B8C-96C7-F43FE4F7CAA8}" showPageBreaks="1" printArea="1" hiddenColumns="1" topLeftCell="A16">
      <selection activeCell="H29" sqref="H29"/>
      <pageMargins left="0.70866141732283472" right="0.70866141732283472" top="0.74803149606299213" bottom="0.74803149606299213" header="0.31496062992125984" footer="0.31496062992125984"/>
      <pageSetup paperSize="9" scale="65" orientation="landscape" horizontalDpi="0" verticalDpi="0" r:id="rId1"/>
    </customSheetView>
    <customSheetView guid="{900EF7B2-0D63-4DE2-9CFC-2D2B3788802C}" showPageBreaks="1" printArea="1" hiddenColumns="1" topLeftCell="A7">
      <selection activeCell="D2" sqref="A2:D2"/>
      <pageMargins left="0.70866141732283472" right="0.70866141732283472" top="0.74803149606299213" bottom="0.74803149606299213" header="0.31496062992125984" footer="0.31496062992125984"/>
      <pageSetup paperSize="9" scale="65" orientation="landscape" verticalDpi="0" r:id="rId2"/>
    </customSheetView>
    <customSheetView guid="{CC6D6007-EFDE-464F-BD7C-A67043AC5D5C}" showPageBreaks="1" printArea="1" hiddenColumns="1">
      <selection activeCell="F5" sqref="F5"/>
      <pageMargins left="0.70866141732283472" right="0.70866141732283472" top="0.74803149606299213" bottom="0.74803149606299213" header="0.31496062992125984" footer="0.31496062992125984"/>
      <pageSetup paperSize="9" scale="65" orientation="landscape" horizontalDpi="0" verticalDpi="0" r:id="rId3"/>
    </customSheetView>
    <customSheetView guid="{C0FE86CC-5BB4-4265-957F-F51B909B3E81}" showPageBreaks="1" printArea="1" hiddenColumns="1" topLeftCell="A16">
      <selection activeCell="A2" sqref="A2"/>
      <pageMargins left="0.70866141732283472" right="0.70866141732283472" top="0.74803149606299213" bottom="0.74803149606299213" header="0.31496062992125984" footer="0.31496062992125984"/>
      <pageSetup paperSize="9" scale="65" orientation="landscape" verticalDpi="0" r:id="rId4"/>
    </customSheetView>
  </customSheetViews>
  <pageMargins left="0.70866141732283472" right="0.70866141732283472" top="0.74803149606299213" bottom="0.74803149606299213" header="0.31496062992125984" footer="0.31496062992125984"/>
  <pageSetup paperSize="9" scale="65" orientation="landscape" horizontalDpi="0" verticalDpi="0" r:id="rId5"/>
</worksheet>
</file>

<file path=xl/worksheets/sheet12.xml><?xml version="1.0" encoding="utf-8"?>
<worksheet xmlns="http://schemas.openxmlformats.org/spreadsheetml/2006/main" xmlns:r="http://schemas.openxmlformats.org/officeDocument/2006/relationships">
  <sheetPr codeName="Лист8">
    <tabColor rgb="FF00B050"/>
    <pageSetUpPr fitToPage="1"/>
  </sheetPr>
  <dimension ref="B1:K98"/>
  <sheetViews>
    <sheetView view="pageBreakPreview" zoomScale="120" zoomScaleSheetLayoutView="120" workbookViewId="0">
      <pane ySplit="4" topLeftCell="A47" activePane="bottomLeft" state="frozen"/>
      <selection pane="bottomLeft" activeCell="N64" sqref="N64"/>
    </sheetView>
  </sheetViews>
  <sheetFormatPr defaultRowHeight="15"/>
  <cols>
    <col min="1" max="1" width="0.42578125" style="1" customWidth="1"/>
    <col min="2" max="2" width="38.7109375" style="49" customWidth="1"/>
    <col min="3" max="3" width="8.7109375" style="41" bestFit="1" customWidth="1"/>
    <col min="4" max="4" width="8.7109375" style="2" bestFit="1" customWidth="1"/>
    <col min="5" max="5" width="8.85546875" style="2" bestFit="1" customWidth="1"/>
    <col min="6" max="6" width="10" style="2" bestFit="1" customWidth="1"/>
    <col min="7" max="7" width="11.140625" style="81" bestFit="1" customWidth="1"/>
    <col min="8" max="8" width="13.28515625" style="81" customWidth="1"/>
    <col min="9" max="9" width="3.140625" style="65" hidden="1" customWidth="1"/>
    <col min="10" max="10" width="0.140625" style="46" hidden="1" customWidth="1"/>
    <col min="11" max="11" width="14.42578125" style="76" hidden="1" customWidth="1"/>
    <col min="12" max="16384" width="9.140625" style="1"/>
  </cols>
  <sheetData>
    <row r="1" spans="2:11" ht="0.75" customHeight="1">
      <c r="B1" s="82"/>
      <c r="C1" s="149"/>
      <c r="D1" s="84"/>
      <c r="E1" s="84"/>
      <c r="F1" s="84"/>
      <c r="G1" s="84"/>
      <c r="H1" s="84"/>
    </row>
    <row r="2" spans="2:11" ht="15.75" thickBot="1">
      <c r="B2" s="321" t="s">
        <v>779</v>
      </c>
      <c r="C2" s="149"/>
      <c r="D2" s="84"/>
      <c r="E2" s="84"/>
      <c r="F2" s="84"/>
      <c r="G2" s="84"/>
      <c r="H2" s="84"/>
    </row>
    <row r="3" spans="2:11" s="40" customFormat="1" ht="18" customHeight="1" thickBot="1">
      <c r="B3" s="1655" t="s">
        <v>158</v>
      </c>
      <c r="C3" s="1648" t="s">
        <v>319</v>
      </c>
      <c r="D3" s="1666" t="s">
        <v>151</v>
      </c>
      <c r="E3" s="1667"/>
      <c r="F3" s="1667"/>
      <c r="G3" s="1667"/>
      <c r="H3" s="1668"/>
      <c r="I3" s="70"/>
      <c r="J3" s="1664" t="s">
        <v>196</v>
      </c>
      <c r="K3" s="1665" t="s">
        <v>197</v>
      </c>
    </row>
    <row r="4" spans="2:11" s="40" customFormat="1" ht="27.75" customHeight="1" thickBot="1">
      <c r="B4" s="1657"/>
      <c r="C4" s="1650"/>
      <c r="D4" s="156" t="s">
        <v>155</v>
      </c>
      <c r="E4" s="157" t="s">
        <v>154</v>
      </c>
      <c r="F4" s="158" t="s">
        <v>156</v>
      </c>
      <c r="G4" s="158" t="s">
        <v>195</v>
      </c>
      <c r="H4" s="159" t="s">
        <v>157</v>
      </c>
      <c r="I4" s="70"/>
      <c r="J4" s="1664"/>
      <c r="K4" s="1665"/>
    </row>
    <row r="5" spans="2:11" ht="19.5" customHeight="1" thickBot="1">
      <c r="B5" s="150" t="s">
        <v>320</v>
      </c>
      <c r="C5" s="151"/>
      <c r="D5" s="155"/>
      <c r="E5" s="155"/>
      <c r="F5" s="155"/>
      <c r="G5" s="155"/>
      <c r="H5" s="144"/>
      <c r="J5" s="1664"/>
      <c r="K5" s="1665"/>
    </row>
    <row r="6" spans="2:11" s="64" customFormat="1">
      <c r="B6" s="115" t="s">
        <v>160</v>
      </c>
      <c r="C6" s="145" t="s">
        <v>21</v>
      </c>
      <c r="D6" s="236">
        <f>J6*1.25</f>
        <v>8.71875</v>
      </c>
      <c r="E6" s="175">
        <f>J6*1.2</f>
        <v>8.3699999999999992</v>
      </c>
      <c r="F6" s="160">
        <f>J6*1.15</f>
        <v>8.0212499999999984</v>
      </c>
      <c r="G6" s="176">
        <f>J6*1.1</f>
        <v>7.6725000000000003</v>
      </c>
      <c r="H6" s="167">
        <f>J6*1.05</f>
        <v>7.3237499999999995</v>
      </c>
      <c r="I6" s="66"/>
      <c r="J6" s="69">
        <f>K6+0.1</f>
        <v>6.9749999999999996</v>
      </c>
      <c r="K6" s="77">
        <f>5.5*1.25</f>
        <v>6.875</v>
      </c>
    </row>
    <row r="7" spans="2:11" s="64" customFormat="1">
      <c r="B7" s="116" t="s">
        <v>161</v>
      </c>
      <c r="C7" s="146" t="s">
        <v>21</v>
      </c>
      <c r="D7" s="237">
        <f t="shared" ref="D7:D14" si="0">J7*1.25</f>
        <v>10.28125</v>
      </c>
      <c r="E7" s="170">
        <f t="shared" ref="E7:E14" si="1">J7*1.2</f>
        <v>9.8699999999999992</v>
      </c>
      <c r="F7" s="161">
        <f t="shared" ref="F7:F53" si="2">J7*1.15</f>
        <v>9.4587499999999984</v>
      </c>
      <c r="G7" s="171">
        <f>J7*1.1</f>
        <v>9.0475000000000012</v>
      </c>
      <c r="H7" s="168">
        <f>J7*1.05</f>
        <v>8.6362500000000004</v>
      </c>
      <c r="I7" s="66"/>
      <c r="J7" s="69">
        <f t="shared" ref="J7:J19" si="3">K7+0.1</f>
        <v>8.2249999999999996</v>
      </c>
      <c r="K7" s="77">
        <f>6.5*1.25</f>
        <v>8.125</v>
      </c>
    </row>
    <row r="8" spans="2:11" s="64" customFormat="1">
      <c r="B8" s="116" t="s">
        <v>162</v>
      </c>
      <c r="C8" s="146" t="s">
        <v>21</v>
      </c>
      <c r="D8" s="237">
        <f t="shared" si="0"/>
        <v>12.46875</v>
      </c>
      <c r="E8" s="170">
        <f t="shared" si="1"/>
        <v>11.969999999999999</v>
      </c>
      <c r="F8" s="161">
        <f t="shared" si="2"/>
        <v>11.47125</v>
      </c>
      <c r="G8" s="171">
        <f t="shared" ref="G8:G53" si="4">J8*1.1</f>
        <v>10.9725</v>
      </c>
      <c r="H8" s="168">
        <f t="shared" ref="H8:H20" si="5">J8*1.05</f>
        <v>10.473750000000001</v>
      </c>
      <c r="I8" s="66"/>
      <c r="J8" s="69">
        <f t="shared" si="3"/>
        <v>9.9749999999999996</v>
      </c>
      <c r="K8" s="77">
        <f>7.9*1.25</f>
        <v>9.875</v>
      </c>
    </row>
    <row r="9" spans="2:11" s="64" customFormat="1">
      <c r="B9" s="116" t="s">
        <v>163</v>
      </c>
      <c r="C9" s="146" t="s">
        <v>21</v>
      </c>
      <c r="D9" s="237">
        <f t="shared" si="0"/>
        <v>14.96875</v>
      </c>
      <c r="E9" s="170">
        <f t="shared" si="1"/>
        <v>14.37</v>
      </c>
      <c r="F9" s="161">
        <f t="shared" si="2"/>
        <v>13.771249999999998</v>
      </c>
      <c r="G9" s="171">
        <f t="shared" si="4"/>
        <v>13.172500000000001</v>
      </c>
      <c r="H9" s="168">
        <f t="shared" si="5"/>
        <v>12.57375</v>
      </c>
      <c r="I9" s="66"/>
      <c r="J9" s="69">
        <f t="shared" si="3"/>
        <v>11.975</v>
      </c>
      <c r="K9" s="77">
        <f>9.5*1.25</f>
        <v>11.875</v>
      </c>
    </row>
    <row r="10" spans="2:11" s="64" customFormat="1">
      <c r="B10" s="116" t="s">
        <v>164</v>
      </c>
      <c r="C10" s="146" t="s">
        <v>21</v>
      </c>
      <c r="D10" s="237">
        <f t="shared" si="0"/>
        <v>17.3125</v>
      </c>
      <c r="E10" s="170">
        <f t="shared" si="1"/>
        <v>16.619999999999997</v>
      </c>
      <c r="F10" s="161">
        <f t="shared" si="2"/>
        <v>15.927499999999998</v>
      </c>
      <c r="G10" s="171">
        <f t="shared" si="4"/>
        <v>15.235000000000001</v>
      </c>
      <c r="H10" s="168">
        <f t="shared" si="5"/>
        <v>14.5425</v>
      </c>
      <c r="I10" s="66"/>
      <c r="J10" s="69">
        <f t="shared" si="3"/>
        <v>13.85</v>
      </c>
      <c r="K10" s="77">
        <f>11*1.25</f>
        <v>13.75</v>
      </c>
    </row>
    <row r="11" spans="2:11" s="64" customFormat="1">
      <c r="B11" s="116" t="s">
        <v>165</v>
      </c>
      <c r="C11" s="146" t="s">
        <v>21</v>
      </c>
      <c r="D11" s="237">
        <f t="shared" si="0"/>
        <v>19.65625</v>
      </c>
      <c r="E11" s="170">
        <f t="shared" si="1"/>
        <v>18.869999999999997</v>
      </c>
      <c r="F11" s="161">
        <f t="shared" si="2"/>
        <v>18.083749999999998</v>
      </c>
      <c r="G11" s="171">
        <f t="shared" si="4"/>
        <v>17.297499999999999</v>
      </c>
      <c r="H11" s="168">
        <f t="shared" si="5"/>
        <v>16.51125</v>
      </c>
      <c r="I11" s="66"/>
      <c r="J11" s="69">
        <f t="shared" si="3"/>
        <v>15.725</v>
      </c>
      <c r="K11" s="77">
        <f>12.5*1.25</f>
        <v>15.625</v>
      </c>
    </row>
    <row r="12" spans="2:11" s="64" customFormat="1">
      <c r="B12" s="116" t="s">
        <v>166</v>
      </c>
      <c r="C12" s="146" t="s">
        <v>21</v>
      </c>
      <c r="D12" s="237">
        <f t="shared" si="0"/>
        <v>21.84375</v>
      </c>
      <c r="E12" s="170">
        <f t="shared" si="1"/>
        <v>20.970000000000002</v>
      </c>
      <c r="F12" s="161">
        <f t="shared" si="2"/>
        <v>20.096250000000001</v>
      </c>
      <c r="G12" s="171">
        <f t="shared" si="4"/>
        <v>19.222500000000004</v>
      </c>
      <c r="H12" s="168">
        <f t="shared" si="5"/>
        <v>18.348750000000003</v>
      </c>
      <c r="I12" s="66"/>
      <c r="J12" s="69">
        <f t="shared" si="3"/>
        <v>17.475000000000001</v>
      </c>
      <c r="K12" s="77">
        <f>13.9*1.25</f>
        <v>17.375</v>
      </c>
    </row>
    <row r="13" spans="2:11" s="64" customFormat="1">
      <c r="B13" s="116" t="s">
        <v>167</v>
      </c>
      <c r="C13" s="146" t="s">
        <v>21</v>
      </c>
      <c r="D13" s="237">
        <f t="shared" si="0"/>
        <v>25.59375</v>
      </c>
      <c r="E13" s="170">
        <f t="shared" si="1"/>
        <v>24.57</v>
      </c>
      <c r="F13" s="161">
        <f t="shared" si="2"/>
        <v>23.546250000000001</v>
      </c>
      <c r="G13" s="171">
        <f t="shared" si="4"/>
        <v>22.522500000000004</v>
      </c>
      <c r="H13" s="168">
        <f>J13*1.05</f>
        <v>21.498750000000001</v>
      </c>
      <c r="I13" s="66"/>
      <c r="J13" s="69">
        <f t="shared" si="3"/>
        <v>20.475000000000001</v>
      </c>
      <c r="K13" s="77">
        <f>16.3*1.25</f>
        <v>20.375</v>
      </c>
    </row>
    <row r="14" spans="2:11" s="64" customFormat="1">
      <c r="B14" s="240" t="s">
        <v>168</v>
      </c>
      <c r="C14" s="241" t="s">
        <v>21</v>
      </c>
      <c r="D14" s="246">
        <f t="shared" si="0"/>
        <v>26.375</v>
      </c>
      <c r="E14" s="242">
        <f t="shared" si="1"/>
        <v>25.32</v>
      </c>
      <c r="F14" s="243">
        <f t="shared" si="2"/>
        <v>24.265000000000001</v>
      </c>
      <c r="G14" s="244">
        <f t="shared" si="4"/>
        <v>23.210000000000004</v>
      </c>
      <c r="H14" s="245">
        <f t="shared" si="5"/>
        <v>22.155000000000001</v>
      </c>
      <c r="I14" s="66"/>
      <c r="J14" s="69">
        <f t="shared" si="3"/>
        <v>21.1</v>
      </c>
      <c r="K14" s="77">
        <f>16.8*1.25</f>
        <v>21</v>
      </c>
    </row>
    <row r="15" spans="2:11" s="64" customFormat="1">
      <c r="B15" s="118" t="s">
        <v>169</v>
      </c>
      <c r="C15" s="146" t="s">
        <v>21</v>
      </c>
      <c r="D15" s="247">
        <f t="shared" ref="D15:D53" si="6">J15*1.25</f>
        <v>5.59375</v>
      </c>
      <c r="E15" s="227">
        <f t="shared" ref="E15:E53" si="7">J15*1.2</f>
        <v>5.3699999999999992</v>
      </c>
      <c r="F15" s="180">
        <f t="shared" si="2"/>
        <v>5.1462499999999993</v>
      </c>
      <c r="G15" s="181">
        <f t="shared" si="4"/>
        <v>4.9225000000000003</v>
      </c>
      <c r="H15" s="179">
        <f t="shared" si="5"/>
        <v>4.6987499999999995</v>
      </c>
      <c r="I15" s="66"/>
      <c r="J15" s="69">
        <f t="shared" si="3"/>
        <v>4.4749999999999996</v>
      </c>
      <c r="K15" s="77">
        <f>3.5*1.25</f>
        <v>4.375</v>
      </c>
    </row>
    <row r="16" spans="2:11" s="64" customFormat="1">
      <c r="B16" s="116" t="s">
        <v>170</v>
      </c>
      <c r="C16" s="146" t="s">
        <v>21</v>
      </c>
      <c r="D16" s="237">
        <f t="shared" si="6"/>
        <v>8.25</v>
      </c>
      <c r="E16" s="170">
        <f t="shared" si="7"/>
        <v>7.919999999999999</v>
      </c>
      <c r="F16" s="161">
        <f t="shared" si="2"/>
        <v>7.589999999999999</v>
      </c>
      <c r="G16" s="171">
        <f t="shared" si="4"/>
        <v>7.26</v>
      </c>
      <c r="H16" s="168">
        <f t="shared" si="5"/>
        <v>6.93</v>
      </c>
      <c r="I16" s="66"/>
      <c r="J16" s="69">
        <f t="shared" si="3"/>
        <v>6.6</v>
      </c>
      <c r="K16" s="77">
        <f>5.2*1.25</f>
        <v>6.5</v>
      </c>
    </row>
    <row r="17" spans="2:11" s="64" customFormat="1">
      <c r="B17" s="116" t="s">
        <v>171</v>
      </c>
      <c r="C17" s="146" t="s">
        <v>21</v>
      </c>
      <c r="D17" s="237">
        <f t="shared" si="6"/>
        <v>9.1875</v>
      </c>
      <c r="E17" s="170">
        <f t="shared" si="7"/>
        <v>8.8199999999999985</v>
      </c>
      <c r="F17" s="161">
        <f t="shared" si="2"/>
        <v>8.4524999999999988</v>
      </c>
      <c r="G17" s="171">
        <f t="shared" si="4"/>
        <v>8.0850000000000009</v>
      </c>
      <c r="H17" s="168">
        <f t="shared" si="5"/>
        <v>7.7175000000000002</v>
      </c>
      <c r="I17" s="66"/>
      <c r="J17" s="69">
        <f t="shared" si="3"/>
        <v>7.35</v>
      </c>
      <c r="K17" s="77">
        <f>5.8*1.25</f>
        <v>7.25</v>
      </c>
    </row>
    <row r="18" spans="2:11" s="64" customFormat="1">
      <c r="B18" s="116" t="s">
        <v>172</v>
      </c>
      <c r="C18" s="146" t="s">
        <v>21</v>
      </c>
      <c r="D18" s="237">
        <f t="shared" si="6"/>
        <v>10.4375</v>
      </c>
      <c r="E18" s="170">
        <f t="shared" si="7"/>
        <v>10.02</v>
      </c>
      <c r="F18" s="161">
        <f t="shared" si="2"/>
        <v>9.6024999999999991</v>
      </c>
      <c r="G18" s="171">
        <f t="shared" si="4"/>
        <v>9.1850000000000005</v>
      </c>
      <c r="H18" s="168">
        <f t="shared" si="5"/>
        <v>8.7675000000000001</v>
      </c>
      <c r="I18" s="66"/>
      <c r="J18" s="69">
        <f t="shared" si="3"/>
        <v>8.35</v>
      </c>
      <c r="K18" s="77">
        <f>6.6*1.25</f>
        <v>8.25</v>
      </c>
    </row>
    <row r="19" spans="2:11" s="64" customFormat="1">
      <c r="B19" s="116" t="s">
        <v>173</v>
      </c>
      <c r="C19" s="146" t="s">
        <v>21</v>
      </c>
      <c r="D19" s="237">
        <f t="shared" si="6"/>
        <v>11.84375</v>
      </c>
      <c r="E19" s="170">
        <f t="shared" si="7"/>
        <v>11.37</v>
      </c>
      <c r="F19" s="161">
        <f t="shared" si="2"/>
        <v>10.896249999999998</v>
      </c>
      <c r="G19" s="171">
        <f t="shared" si="4"/>
        <v>10.422500000000001</v>
      </c>
      <c r="H19" s="168">
        <f t="shared" si="5"/>
        <v>9.9487500000000004</v>
      </c>
      <c r="I19" s="66"/>
      <c r="J19" s="69">
        <f t="shared" si="3"/>
        <v>9.4749999999999996</v>
      </c>
      <c r="K19" s="77">
        <f>7.5*1.25</f>
        <v>9.375</v>
      </c>
    </row>
    <row r="20" spans="2:11" s="64" customFormat="1" ht="15.75" thickBot="1">
      <c r="B20" s="120" t="s">
        <v>174</v>
      </c>
      <c r="C20" s="146" t="s">
        <v>21</v>
      </c>
      <c r="D20" s="238">
        <f t="shared" si="6"/>
        <v>14.043750000000001</v>
      </c>
      <c r="E20" s="177">
        <f t="shared" si="7"/>
        <v>13.482000000000001</v>
      </c>
      <c r="F20" s="162">
        <f t="shared" si="2"/>
        <v>12.920250000000001</v>
      </c>
      <c r="G20" s="178">
        <f t="shared" si="4"/>
        <v>12.358500000000003</v>
      </c>
      <c r="H20" s="169">
        <f t="shared" si="5"/>
        <v>11.796750000000001</v>
      </c>
      <c r="I20" s="66"/>
      <c r="J20" s="69">
        <f>K20*1.07</f>
        <v>11.235000000000001</v>
      </c>
      <c r="K20" s="77">
        <f>8.4*1.25</f>
        <v>10.5</v>
      </c>
    </row>
    <row r="21" spans="2:11" s="64" customFormat="1" ht="15.75" thickBot="1">
      <c r="B21" s="150" t="s">
        <v>321</v>
      </c>
      <c r="C21" s="151"/>
      <c r="D21" s="151"/>
      <c r="E21" s="151"/>
      <c r="F21" s="151"/>
      <c r="G21" s="151"/>
      <c r="H21" s="152"/>
      <c r="I21" s="66"/>
      <c r="J21" s="69">
        <f t="shared" ref="J21:J66" si="8">K21*1.07</f>
        <v>0</v>
      </c>
      <c r="K21" s="77"/>
    </row>
    <row r="22" spans="2:11" s="64" customFormat="1">
      <c r="B22" s="118" t="s">
        <v>322</v>
      </c>
      <c r="C22" s="146" t="s">
        <v>21</v>
      </c>
      <c r="D22" s="247">
        <f t="shared" ref="D22:D25" si="9">J22*1.25</f>
        <v>8.6937499999999996</v>
      </c>
      <c r="E22" s="227">
        <f t="shared" ref="E22:E25" si="10">J22*1.2</f>
        <v>8.3460000000000001</v>
      </c>
      <c r="F22" s="180">
        <f t="shared" ref="F22:F25" si="11">J22*1.15</f>
        <v>7.9982499999999996</v>
      </c>
      <c r="G22" s="181">
        <f t="shared" ref="G22:G25" si="12">J22*1.1</f>
        <v>7.650500000000001</v>
      </c>
      <c r="H22" s="179">
        <f>J22*1.05</f>
        <v>7.3027500000000005</v>
      </c>
      <c r="I22" s="66"/>
      <c r="J22" s="69">
        <f t="shared" si="8"/>
        <v>6.9550000000000001</v>
      </c>
      <c r="K22" s="77">
        <f>5.2*1.25</f>
        <v>6.5</v>
      </c>
    </row>
    <row r="23" spans="2:11" s="64" customFormat="1">
      <c r="B23" s="116" t="s">
        <v>323</v>
      </c>
      <c r="C23" s="146" t="s">
        <v>21</v>
      </c>
      <c r="D23" s="237">
        <f t="shared" si="9"/>
        <v>9.5296874999999996</v>
      </c>
      <c r="E23" s="170">
        <f t="shared" si="10"/>
        <v>9.1485000000000003</v>
      </c>
      <c r="F23" s="161">
        <f t="shared" si="11"/>
        <v>8.7673124999999992</v>
      </c>
      <c r="G23" s="171">
        <f t="shared" si="12"/>
        <v>8.3861250000000016</v>
      </c>
      <c r="H23" s="168">
        <f t="shared" ref="H23:H25" si="13">J23*1.05</f>
        <v>8.0049375000000005</v>
      </c>
      <c r="I23" s="66"/>
      <c r="J23" s="69">
        <f t="shared" si="8"/>
        <v>7.6237500000000002</v>
      </c>
      <c r="K23" s="77">
        <f>5.7*1.25</f>
        <v>7.125</v>
      </c>
    </row>
    <row r="24" spans="2:11" s="64" customFormat="1">
      <c r="B24" s="116" t="s">
        <v>324</v>
      </c>
      <c r="C24" s="146" t="s">
        <v>21</v>
      </c>
      <c r="D24" s="237">
        <f t="shared" si="9"/>
        <v>11.034375000000001</v>
      </c>
      <c r="E24" s="170">
        <f t="shared" si="10"/>
        <v>10.593</v>
      </c>
      <c r="F24" s="161">
        <f t="shared" si="11"/>
        <v>10.151624999999999</v>
      </c>
      <c r="G24" s="171">
        <f t="shared" si="12"/>
        <v>9.710250000000002</v>
      </c>
      <c r="H24" s="168">
        <f t="shared" si="13"/>
        <v>9.2688750000000013</v>
      </c>
      <c r="I24" s="66"/>
      <c r="J24" s="69">
        <f t="shared" si="8"/>
        <v>8.8275000000000006</v>
      </c>
      <c r="K24" s="77">
        <f>6.6*1.25</f>
        <v>8.25</v>
      </c>
    </row>
    <row r="25" spans="2:11" s="64" customFormat="1" ht="15.75" thickBot="1">
      <c r="B25" s="116" t="s">
        <v>325</v>
      </c>
      <c r="C25" s="146" t="s">
        <v>21</v>
      </c>
      <c r="D25" s="238">
        <f t="shared" si="9"/>
        <v>12.371875000000001</v>
      </c>
      <c r="E25" s="177">
        <f t="shared" si="10"/>
        <v>11.877000000000001</v>
      </c>
      <c r="F25" s="162">
        <f t="shared" si="11"/>
        <v>11.382125</v>
      </c>
      <c r="G25" s="178">
        <f t="shared" si="12"/>
        <v>10.887250000000002</v>
      </c>
      <c r="H25" s="169">
        <f t="shared" si="13"/>
        <v>10.392375000000001</v>
      </c>
      <c r="I25" s="66"/>
      <c r="J25" s="69">
        <f t="shared" si="8"/>
        <v>9.8975000000000009</v>
      </c>
      <c r="K25" s="77">
        <f>7.4*1.25</f>
        <v>9.25</v>
      </c>
    </row>
    <row r="26" spans="2:11" s="64" customFormat="1" ht="15.75" customHeight="1" thickBot="1">
      <c r="B26" s="153" t="s">
        <v>180</v>
      </c>
      <c r="C26" s="151"/>
      <c r="D26" s="155"/>
      <c r="E26" s="155"/>
      <c r="F26" s="155"/>
      <c r="G26" s="155"/>
      <c r="H26" s="163"/>
      <c r="I26" s="66"/>
      <c r="J26" s="69">
        <f t="shared" si="8"/>
        <v>0</v>
      </c>
      <c r="K26" s="77"/>
    </row>
    <row r="27" spans="2:11" s="64" customFormat="1">
      <c r="B27" s="116" t="s">
        <v>159</v>
      </c>
      <c r="C27" s="146" t="s">
        <v>216</v>
      </c>
      <c r="D27" s="236">
        <f t="shared" si="6"/>
        <v>56.84375</v>
      </c>
      <c r="E27" s="175">
        <f t="shared" si="7"/>
        <v>54.57</v>
      </c>
      <c r="F27" s="160">
        <f t="shared" si="2"/>
        <v>52.296250000000001</v>
      </c>
      <c r="G27" s="176">
        <f t="shared" si="4"/>
        <v>50.022500000000008</v>
      </c>
      <c r="H27" s="167">
        <f>J27*1.05</f>
        <v>47.748750000000001</v>
      </c>
      <c r="I27" s="66"/>
      <c r="J27" s="69">
        <f t="shared" si="8"/>
        <v>45.475000000000001</v>
      </c>
      <c r="K27" s="77">
        <f>34*1.25</f>
        <v>42.5</v>
      </c>
    </row>
    <row r="28" spans="2:11" s="64" customFormat="1">
      <c r="B28" s="116" t="s">
        <v>175</v>
      </c>
      <c r="C28" s="146" t="s">
        <v>216</v>
      </c>
      <c r="D28" s="237">
        <f t="shared" si="6"/>
        <v>73.5625</v>
      </c>
      <c r="E28" s="170">
        <f t="shared" si="7"/>
        <v>70.62</v>
      </c>
      <c r="F28" s="161">
        <f t="shared" si="2"/>
        <v>67.677499999999995</v>
      </c>
      <c r="G28" s="171">
        <f t="shared" si="4"/>
        <v>64.735000000000014</v>
      </c>
      <c r="H28" s="168">
        <f t="shared" ref="H28:H36" si="14">J28*1.05</f>
        <v>61.792500000000004</v>
      </c>
      <c r="I28" s="66"/>
      <c r="J28" s="69">
        <f t="shared" si="8"/>
        <v>58.85</v>
      </c>
      <c r="K28" s="77">
        <f>44*1.25</f>
        <v>55</v>
      </c>
    </row>
    <row r="29" spans="2:11" s="64" customFormat="1">
      <c r="B29" s="116" t="s">
        <v>326</v>
      </c>
      <c r="C29" s="146" t="s">
        <v>216</v>
      </c>
      <c r="D29" s="237">
        <f t="shared" ref="D29:D32" si="15">J29*1.25</f>
        <v>57.178125000000001</v>
      </c>
      <c r="E29" s="170">
        <f t="shared" ref="E29:E32" si="16">J29*1.2</f>
        <v>54.890999999999998</v>
      </c>
      <c r="F29" s="161">
        <f t="shared" ref="F29:F32" si="17">J29*1.15</f>
        <v>52.603874999999995</v>
      </c>
      <c r="G29" s="171">
        <f t="shared" ref="G29:G32" si="18">J29*1.1</f>
        <v>50.316750000000006</v>
      </c>
      <c r="H29" s="168">
        <f t="shared" ref="H29:H32" si="19">J29*1.05</f>
        <v>48.029625000000003</v>
      </c>
      <c r="I29" s="66"/>
      <c r="J29" s="69">
        <f t="shared" si="8"/>
        <v>45.7425</v>
      </c>
      <c r="K29" s="77">
        <f>34.2*1.25</f>
        <v>42.75</v>
      </c>
    </row>
    <row r="30" spans="2:11" s="64" customFormat="1">
      <c r="B30" s="116" t="s">
        <v>327</v>
      </c>
      <c r="C30" s="146" t="s">
        <v>216</v>
      </c>
      <c r="D30" s="237">
        <f t="shared" si="15"/>
        <v>57.635550000000009</v>
      </c>
      <c r="E30" s="170">
        <f t="shared" si="16"/>
        <v>55.330128000000009</v>
      </c>
      <c r="F30" s="161">
        <f t="shared" si="17"/>
        <v>53.024706000000009</v>
      </c>
      <c r="G30" s="171">
        <f t="shared" si="18"/>
        <v>50.719284000000016</v>
      </c>
      <c r="H30" s="168">
        <f t="shared" si="19"/>
        <v>48.413862000000009</v>
      </c>
      <c r="I30" s="66"/>
      <c r="J30" s="69">
        <f t="shared" si="8"/>
        <v>46.108440000000009</v>
      </c>
      <c r="K30" s="77">
        <f>34.2*1.26</f>
        <v>43.092000000000006</v>
      </c>
    </row>
    <row r="31" spans="2:11" s="64" customFormat="1">
      <c r="B31" s="116" t="s">
        <v>328</v>
      </c>
      <c r="C31" s="146" t="s">
        <v>216</v>
      </c>
      <c r="D31" s="237">
        <f t="shared" si="15"/>
        <v>64.882125000000002</v>
      </c>
      <c r="E31" s="170">
        <f t="shared" si="16"/>
        <v>62.286839999999998</v>
      </c>
      <c r="F31" s="161">
        <f t="shared" si="17"/>
        <v>59.691555000000001</v>
      </c>
      <c r="G31" s="171">
        <f t="shared" si="18"/>
        <v>57.096270000000011</v>
      </c>
      <c r="H31" s="168">
        <f t="shared" si="19"/>
        <v>54.500985000000007</v>
      </c>
      <c r="I31" s="66"/>
      <c r="J31" s="69">
        <f t="shared" si="8"/>
        <v>51.905700000000003</v>
      </c>
      <c r="K31" s="77">
        <f>38.5*1.26</f>
        <v>48.51</v>
      </c>
    </row>
    <row r="32" spans="2:11" s="64" customFormat="1">
      <c r="B32" s="116" t="s">
        <v>329</v>
      </c>
      <c r="C32" s="146" t="s">
        <v>216</v>
      </c>
      <c r="D32" s="237">
        <f t="shared" si="15"/>
        <v>82.071674999999999</v>
      </c>
      <c r="E32" s="170">
        <f t="shared" si="16"/>
        <v>78.788808000000003</v>
      </c>
      <c r="F32" s="161">
        <f t="shared" si="17"/>
        <v>75.505940999999993</v>
      </c>
      <c r="G32" s="171">
        <f t="shared" si="18"/>
        <v>72.223074000000011</v>
      </c>
      <c r="H32" s="168">
        <f t="shared" si="19"/>
        <v>68.940207000000015</v>
      </c>
      <c r="I32" s="66"/>
      <c r="J32" s="69">
        <f t="shared" si="8"/>
        <v>65.657340000000005</v>
      </c>
      <c r="K32" s="77">
        <f>48.7*1.26</f>
        <v>61.362000000000002</v>
      </c>
    </row>
    <row r="33" spans="2:11" s="64" customFormat="1">
      <c r="B33" s="116" t="s">
        <v>176</v>
      </c>
      <c r="C33" s="146" t="s">
        <v>216</v>
      </c>
      <c r="D33" s="237">
        <f t="shared" si="6"/>
        <v>62.35425</v>
      </c>
      <c r="E33" s="170">
        <f t="shared" si="7"/>
        <v>59.860079999999996</v>
      </c>
      <c r="F33" s="161">
        <f t="shared" si="2"/>
        <v>57.36591</v>
      </c>
      <c r="G33" s="171">
        <f t="shared" si="4"/>
        <v>54.87174000000001</v>
      </c>
      <c r="H33" s="168">
        <f t="shared" si="14"/>
        <v>52.377570000000006</v>
      </c>
      <c r="I33" s="66"/>
      <c r="J33" s="69">
        <f t="shared" si="8"/>
        <v>49.883400000000002</v>
      </c>
      <c r="K33" s="77">
        <f>37*1.26</f>
        <v>46.62</v>
      </c>
    </row>
    <row r="34" spans="2:11" s="64" customFormat="1">
      <c r="B34" s="116" t="s">
        <v>177</v>
      </c>
      <c r="C34" s="146" t="s">
        <v>216</v>
      </c>
      <c r="D34" s="237">
        <f t="shared" si="6"/>
        <v>62.35425</v>
      </c>
      <c r="E34" s="170">
        <f t="shared" si="7"/>
        <v>59.860079999999996</v>
      </c>
      <c r="F34" s="161">
        <f t="shared" si="2"/>
        <v>57.36591</v>
      </c>
      <c r="G34" s="171">
        <f t="shared" si="4"/>
        <v>54.87174000000001</v>
      </c>
      <c r="H34" s="168">
        <f t="shared" si="14"/>
        <v>52.377570000000006</v>
      </c>
      <c r="I34" s="66"/>
      <c r="J34" s="69">
        <f t="shared" si="8"/>
        <v>49.883400000000002</v>
      </c>
      <c r="K34" s="77">
        <f>37*1.26</f>
        <v>46.62</v>
      </c>
    </row>
    <row r="35" spans="2:11" s="64" customFormat="1">
      <c r="B35" s="116" t="s">
        <v>178</v>
      </c>
      <c r="C35" s="146" t="s">
        <v>216</v>
      </c>
      <c r="D35" s="237">
        <f t="shared" si="6"/>
        <v>69.937875000000005</v>
      </c>
      <c r="E35" s="170">
        <f t="shared" si="7"/>
        <v>67.140360000000001</v>
      </c>
      <c r="F35" s="161">
        <f t="shared" si="2"/>
        <v>64.342844999999997</v>
      </c>
      <c r="G35" s="171">
        <f t="shared" si="4"/>
        <v>61.545330000000014</v>
      </c>
      <c r="H35" s="168">
        <f t="shared" si="14"/>
        <v>58.74781500000001</v>
      </c>
      <c r="I35" s="66"/>
      <c r="J35" s="69">
        <f t="shared" si="8"/>
        <v>55.950300000000006</v>
      </c>
      <c r="K35" s="77">
        <f>41.5*1.26</f>
        <v>52.29</v>
      </c>
    </row>
    <row r="36" spans="2:11" s="64" customFormat="1" ht="15.75" thickBot="1">
      <c r="B36" s="116" t="s">
        <v>179</v>
      </c>
      <c r="C36" s="146" t="s">
        <v>216</v>
      </c>
      <c r="D36" s="238">
        <f>J36*1.25</f>
        <v>88.138574999999989</v>
      </c>
      <c r="E36" s="177">
        <f t="shared" si="7"/>
        <v>84.61303199999999</v>
      </c>
      <c r="F36" s="162">
        <f t="shared" si="2"/>
        <v>81.087488999999991</v>
      </c>
      <c r="G36" s="178">
        <f t="shared" si="4"/>
        <v>77.561946000000006</v>
      </c>
      <c r="H36" s="169">
        <f t="shared" si="14"/>
        <v>74.036402999999993</v>
      </c>
      <c r="I36" s="66"/>
      <c r="J36" s="69">
        <f t="shared" si="8"/>
        <v>70.510859999999994</v>
      </c>
      <c r="K36" s="77">
        <f>52.3*1.26</f>
        <v>65.897999999999996</v>
      </c>
    </row>
    <row r="37" spans="2:11" s="64" customFormat="1" ht="15.75" customHeight="1" thickBot="1">
      <c r="B37" s="153" t="s">
        <v>181</v>
      </c>
      <c r="C37" s="151"/>
      <c r="D37" s="155"/>
      <c r="E37" s="155"/>
      <c r="F37" s="155"/>
      <c r="G37" s="155"/>
      <c r="H37" s="163"/>
      <c r="I37" s="66"/>
      <c r="J37" s="69">
        <f t="shared" si="8"/>
        <v>0</v>
      </c>
      <c r="K37" s="77"/>
    </row>
    <row r="38" spans="2:11" s="64" customFormat="1">
      <c r="B38" s="116" t="s">
        <v>330</v>
      </c>
      <c r="C38" s="146" t="s">
        <v>216</v>
      </c>
      <c r="D38" s="236">
        <f t="shared" si="6"/>
        <v>101.03073750000001</v>
      </c>
      <c r="E38" s="175">
        <f t="shared" si="7"/>
        <v>96.989508000000015</v>
      </c>
      <c r="F38" s="160">
        <f t="shared" si="2"/>
        <v>92.948278500000015</v>
      </c>
      <c r="G38" s="176">
        <f t="shared" si="4"/>
        <v>88.907049000000029</v>
      </c>
      <c r="H38" s="167">
        <f>J38*1.05</f>
        <v>84.865819500000015</v>
      </c>
      <c r="I38" s="66"/>
      <c r="J38" s="69">
        <f t="shared" si="8"/>
        <v>80.824590000000015</v>
      </c>
      <c r="K38" s="77">
        <f>59.95*1.26</f>
        <v>75.537000000000006</v>
      </c>
    </row>
    <row r="39" spans="2:11" s="64" customFormat="1">
      <c r="B39" s="116" t="s">
        <v>331</v>
      </c>
      <c r="C39" s="146" t="s">
        <v>216</v>
      </c>
      <c r="D39" s="237">
        <f t="shared" ref="D39:D40" si="20">J39*1.25</f>
        <v>109.372725</v>
      </c>
      <c r="E39" s="170">
        <f t="shared" ref="E39:E40" si="21">J39*1.2</f>
        <v>104.997816</v>
      </c>
      <c r="F39" s="161">
        <f t="shared" ref="F39:F40" si="22">J39*1.15</f>
        <v>100.622907</v>
      </c>
      <c r="G39" s="171">
        <f t="shared" ref="G39:G40" si="23">J39*1.1</f>
        <v>96.24799800000001</v>
      </c>
      <c r="H39" s="168">
        <f t="shared" ref="H39:H43" si="24">J39*1.05</f>
        <v>91.873089000000007</v>
      </c>
      <c r="I39" s="66"/>
      <c r="J39" s="69">
        <f t="shared" si="8"/>
        <v>87.498180000000005</v>
      </c>
      <c r="K39" s="77">
        <f>64.9*1.26</f>
        <v>81.774000000000001</v>
      </c>
    </row>
    <row r="40" spans="2:11" s="64" customFormat="1">
      <c r="B40" s="116" t="s">
        <v>182</v>
      </c>
      <c r="C40" s="146" t="s">
        <v>216</v>
      </c>
      <c r="D40" s="237">
        <f t="shared" si="20"/>
        <v>100.272375</v>
      </c>
      <c r="E40" s="170">
        <f t="shared" si="21"/>
        <v>96.261479999999992</v>
      </c>
      <c r="F40" s="161">
        <f t="shared" si="22"/>
        <v>92.250584999999987</v>
      </c>
      <c r="G40" s="171">
        <f t="shared" si="23"/>
        <v>88.23969000000001</v>
      </c>
      <c r="H40" s="168">
        <f t="shared" si="24"/>
        <v>84.228795000000005</v>
      </c>
      <c r="I40" s="66"/>
      <c r="J40" s="69">
        <f t="shared" si="8"/>
        <v>80.2179</v>
      </c>
      <c r="K40" s="77">
        <f>59.5*1.26</f>
        <v>74.97</v>
      </c>
    </row>
    <row r="41" spans="2:11" s="64" customFormat="1">
      <c r="B41" s="116" t="s">
        <v>183</v>
      </c>
      <c r="C41" s="146" t="s">
        <v>216</v>
      </c>
      <c r="D41" s="237">
        <f t="shared" si="6"/>
        <v>104.4855</v>
      </c>
      <c r="E41" s="170">
        <f t="shared" si="7"/>
        <v>100.30608000000001</v>
      </c>
      <c r="F41" s="161">
        <f t="shared" si="2"/>
        <v>96.126660000000001</v>
      </c>
      <c r="G41" s="171">
        <f t="shared" si="4"/>
        <v>91.947240000000022</v>
      </c>
      <c r="H41" s="168">
        <f t="shared" si="24"/>
        <v>87.767820000000015</v>
      </c>
      <c r="I41" s="66"/>
      <c r="J41" s="69">
        <f t="shared" si="8"/>
        <v>83.588400000000007</v>
      </c>
      <c r="K41" s="77">
        <f>62*1.26</f>
        <v>78.12</v>
      </c>
    </row>
    <row r="42" spans="2:11" s="64" customFormat="1">
      <c r="B42" s="116" t="s">
        <v>184</v>
      </c>
      <c r="C42" s="146" t="s">
        <v>216</v>
      </c>
      <c r="D42" s="237">
        <f t="shared" si="6"/>
        <v>114.59700000000001</v>
      </c>
      <c r="E42" s="170">
        <f t="shared" si="7"/>
        <v>110.01312000000001</v>
      </c>
      <c r="F42" s="161">
        <f t="shared" si="2"/>
        <v>105.42924000000001</v>
      </c>
      <c r="G42" s="171">
        <f t="shared" si="4"/>
        <v>100.84536000000003</v>
      </c>
      <c r="H42" s="168">
        <f t="shared" si="24"/>
        <v>96.26148000000002</v>
      </c>
      <c r="I42" s="66"/>
      <c r="J42" s="69">
        <f t="shared" si="8"/>
        <v>91.677600000000012</v>
      </c>
      <c r="K42" s="77">
        <f>68*1.26</f>
        <v>85.68</v>
      </c>
    </row>
    <row r="43" spans="2:11" s="64" customFormat="1" ht="15.75" thickBot="1">
      <c r="B43" s="116" t="s">
        <v>185</v>
      </c>
      <c r="C43" s="146" t="s">
        <v>216</v>
      </c>
      <c r="D43" s="238">
        <f t="shared" ref="D43" si="25">J43*1.25</f>
        <v>160.09875</v>
      </c>
      <c r="E43" s="177">
        <f t="shared" ref="E43" si="26">J43*1.2</f>
        <v>153.69480000000001</v>
      </c>
      <c r="F43" s="162">
        <f t="shared" ref="F43" si="27">J43*1.15</f>
        <v>147.29085000000001</v>
      </c>
      <c r="G43" s="178">
        <f t="shared" ref="G43" si="28">J43*1.1</f>
        <v>140.88690000000003</v>
      </c>
      <c r="H43" s="169">
        <f t="shared" si="24"/>
        <v>134.48295000000002</v>
      </c>
      <c r="I43" s="66"/>
      <c r="J43" s="69">
        <f t="shared" si="8"/>
        <v>128.07900000000001</v>
      </c>
      <c r="K43" s="77">
        <f>95*1.26</f>
        <v>119.7</v>
      </c>
    </row>
    <row r="44" spans="2:11" s="64" customFormat="1" ht="15.75" customHeight="1" thickBot="1">
      <c r="B44" s="153" t="s">
        <v>187</v>
      </c>
      <c r="C44" s="151"/>
      <c r="D44" s="155"/>
      <c r="E44" s="155"/>
      <c r="F44" s="155"/>
      <c r="G44" s="155"/>
      <c r="H44" s="163"/>
      <c r="I44" s="66"/>
      <c r="J44" s="69">
        <f t="shared" si="8"/>
        <v>0</v>
      </c>
      <c r="K44" s="77"/>
    </row>
    <row r="45" spans="2:11" s="64" customFormat="1">
      <c r="B45" s="116" t="s">
        <v>188</v>
      </c>
      <c r="C45" s="146" t="s">
        <v>216</v>
      </c>
      <c r="D45" s="236">
        <f t="shared" si="6"/>
        <v>69.095250000000007</v>
      </c>
      <c r="E45" s="175">
        <f t="shared" si="7"/>
        <v>66.331440000000015</v>
      </c>
      <c r="F45" s="160">
        <f t="shared" si="2"/>
        <v>63.567630000000008</v>
      </c>
      <c r="G45" s="176">
        <f t="shared" si="4"/>
        <v>60.803820000000016</v>
      </c>
      <c r="H45" s="167">
        <f>J45*1.05</f>
        <v>58.040010000000009</v>
      </c>
      <c r="I45" s="66"/>
      <c r="J45" s="69">
        <f t="shared" si="8"/>
        <v>55.27620000000001</v>
      </c>
      <c r="K45" s="77">
        <f>41*1.26</f>
        <v>51.660000000000004</v>
      </c>
    </row>
    <row r="46" spans="2:11" s="64" customFormat="1" ht="15.75" thickBot="1">
      <c r="B46" s="116" t="s">
        <v>189</v>
      </c>
      <c r="C46" s="146" t="s">
        <v>216</v>
      </c>
      <c r="D46" s="238">
        <f t="shared" si="6"/>
        <v>62.35425</v>
      </c>
      <c r="E46" s="177">
        <f t="shared" si="7"/>
        <v>59.860079999999996</v>
      </c>
      <c r="F46" s="162">
        <f t="shared" si="2"/>
        <v>57.36591</v>
      </c>
      <c r="G46" s="178">
        <f t="shared" si="4"/>
        <v>54.87174000000001</v>
      </c>
      <c r="H46" s="169">
        <f>J46*1.05</f>
        <v>52.377570000000006</v>
      </c>
      <c r="I46" s="66"/>
      <c r="J46" s="69">
        <f t="shared" si="8"/>
        <v>49.883400000000002</v>
      </c>
      <c r="K46" s="77">
        <f>37*1.26</f>
        <v>46.62</v>
      </c>
    </row>
    <row r="47" spans="2:11" s="64" customFormat="1" ht="15.75" customHeight="1" thickBot="1">
      <c r="B47" s="153" t="s">
        <v>152</v>
      </c>
      <c r="C47" s="151"/>
      <c r="D47" s="155"/>
      <c r="E47" s="155"/>
      <c r="F47" s="155"/>
      <c r="G47" s="155"/>
      <c r="H47" s="163"/>
      <c r="I47" s="66"/>
      <c r="J47" s="69">
        <f t="shared" si="8"/>
        <v>0</v>
      </c>
      <c r="K47" s="77"/>
    </row>
    <row r="48" spans="2:11" s="64" customFormat="1">
      <c r="B48" s="116" t="s">
        <v>190</v>
      </c>
      <c r="C48" s="146" t="s">
        <v>21</v>
      </c>
      <c r="D48" s="236">
        <f t="shared" si="6"/>
        <v>8.763300000000001</v>
      </c>
      <c r="E48" s="175">
        <f t="shared" si="7"/>
        <v>8.4127680000000016</v>
      </c>
      <c r="F48" s="160">
        <f t="shared" si="2"/>
        <v>8.0622360000000004</v>
      </c>
      <c r="G48" s="176">
        <f t="shared" si="4"/>
        <v>7.7117040000000019</v>
      </c>
      <c r="H48" s="167">
        <f>J48*1.05</f>
        <v>7.3611720000000016</v>
      </c>
      <c r="I48" s="66"/>
      <c r="J48" s="69">
        <f t="shared" si="8"/>
        <v>7.0106400000000013</v>
      </c>
      <c r="K48" s="77">
        <f>5.2*1.26</f>
        <v>6.5520000000000005</v>
      </c>
    </row>
    <row r="49" spans="2:11" s="64" customFormat="1" ht="15.75" customHeight="1">
      <c r="B49" s="116" t="s">
        <v>191</v>
      </c>
      <c r="C49" s="146" t="s">
        <v>21</v>
      </c>
      <c r="D49" s="248">
        <f t="shared" si="6"/>
        <v>6.7410000000000005</v>
      </c>
      <c r="E49" s="173">
        <f t="shared" si="7"/>
        <v>6.4713599999999998</v>
      </c>
      <c r="F49" s="164">
        <f t="shared" si="2"/>
        <v>6.2017199999999999</v>
      </c>
      <c r="G49" s="174">
        <f t="shared" si="4"/>
        <v>5.9320800000000009</v>
      </c>
      <c r="H49" s="172">
        <f t="shared" ref="H49:H50" si="29">J49*1.05</f>
        <v>5.6624400000000001</v>
      </c>
      <c r="I49" s="66"/>
      <c r="J49" s="69">
        <f t="shared" si="8"/>
        <v>5.3928000000000003</v>
      </c>
      <c r="K49" s="77">
        <f>4*1.26</f>
        <v>5.04</v>
      </c>
    </row>
    <row r="50" spans="2:11" s="64" customFormat="1" ht="15.75" thickBot="1">
      <c r="B50" s="116" t="s">
        <v>192</v>
      </c>
      <c r="C50" s="146" t="s">
        <v>21</v>
      </c>
      <c r="D50" s="238">
        <f t="shared" si="6"/>
        <v>6.7410000000000005</v>
      </c>
      <c r="E50" s="177">
        <f t="shared" si="7"/>
        <v>6.4713599999999998</v>
      </c>
      <c r="F50" s="162">
        <f t="shared" si="2"/>
        <v>6.2017199999999999</v>
      </c>
      <c r="G50" s="178">
        <f t="shared" si="4"/>
        <v>5.9320800000000009</v>
      </c>
      <c r="H50" s="169">
        <f t="shared" si="29"/>
        <v>5.6624400000000001</v>
      </c>
      <c r="I50" s="66"/>
      <c r="J50" s="69">
        <f t="shared" si="8"/>
        <v>5.3928000000000003</v>
      </c>
      <c r="K50" s="77">
        <f>4*1.26</f>
        <v>5.04</v>
      </c>
    </row>
    <row r="51" spans="2:11" s="64" customFormat="1" ht="15.75" customHeight="1" thickBot="1">
      <c r="B51" s="154" t="s">
        <v>153</v>
      </c>
      <c r="C51" s="151"/>
      <c r="D51" s="155"/>
      <c r="E51" s="155"/>
      <c r="F51" s="155"/>
      <c r="G51" s="155"/>
      <c r="H51" s="163"/>
      <c r="I51" s="66"/>
      <c r="J51" s="69">
        <f t="shared" si="8"/>
        <v>0</v>
      </c>
      <c r="K51" s="77"/>
    </row>
    <row r="52" spans="2:11" s="64" customFormat="1">
      <c r="B52" s="116" t="s">
        <v>193</v>
      </c>
      <c r="C52" s="146" t="s">
        <v>21</v>
      </c>
      <c r="D52" s="236">
        <f t="shared" si="6"/>
        <v>3.3705000000000003</v>
      </c>
      <c r="E52" s="175">
        <f t="shared" si="7"/>
        <v>3.2356799999999999</v>
      </c>
      <c r="F52" s="160">
        <f t="shared" si="2"/>
        <v>3.1008599999999999</v>
      </c>
      <c r="G52" s="176">
        <f t="shared" si="4"/>
        <v>2.9660400000000005</v>
      </c>
      <c r="H52" s="167">
        <f>J52*1.05</f>
        <v>2.8312200000000001</v>
      </c>
      <c r="I52" s="66"/>
      <c r="J52" s="69">
        <f t="shared" si="8"/>
        <v>2.6964000000000001</v>
      </c>
      <c r="K52" s="77">
        <f>2*1.26</f>
        <v>2.52</v>
      </c>
    </row>
    <row r="53" spans="2:11" s="64" customFormat="1" ht="15.75" thickBot="1">
      <c r="B53" s="117" t="s">
        <v>194</v>
      </c>
      <c r="C53" s="148" t="s">
        <v>21</v>
      </c>
      <c r="D53" s="238">
        <f t="shared" si="6"/>
        <v>8.2577250000000006</v>
      </c>
      <c r="E53" s="177">
        <f t="shared" si="7"/>
        <v>7.9274160000000009</v>
      </c>
      <c r="F53" s="162">
        <f t="shared" si="2"/>
        <v>7.5971070000000003</v>
      </c>
      <c r="G53" s="178">
        <f t="shared" si="4"/>
        <v>7.2667980000000014</v>
      </c>
      <c r="H53" s="169">
        <f>J53*1.05</f>
        <v>6.9364890000000017</v>
      </c>
      <c r="I53" s="66"/>
      <c r="J53" s="69">
        <f t="shared" si="8"/>
        <v>6.6061800000000011</v>
      </c>
      <c r="K53" s="77">
        <f>4.9*1.26</f>
        <v>6.1740000000000004</v>
      </c>
    </row>
    <row r="54" spans="2:11" ht="16.5" customHeight="1" thickBot="1">
      <c r="B54" s="153" t="s">
        <v>332</v>
      </c>
      <c r="C54" s="151"/>
      <c r="D54" s="155"/>
      <c r="E54" s="155"/>
      <c r="F54" s="155"/>
      <c r="G54" s="155"/>
      <c r="H54" s="144"/>
      <c r="J54" s="69">
        <f t="shared" si="8"/>
        <v>0</v>
      </c>
      <c r="K54" s="77"/>
    </row>
    <row r="55" spans="2:11" s="64" customFormat="1">
      <c r="B55" s="115" t="s">
        <v>333</v>
      </c>
      <c r="C55" s="145" t="s">
        <v>21</v>
      </c>
      <c r="D55" s="236">
        <f>J55*1.25</f>
        <v>31.177125</v>
      </c>
      <c r="E55" s="175">
        <f>J55*1.2</f>
        <v>29.930039999999998</v>
      </c>
      <c r="F55" s="160">
        <f>J55*1.15</f>
        <v>28.682955</v>
      </c>
      <c r="G55" s="176">
        <f>J55*1.1</f>
        <v>27.435870000000005</v>
      </c>
      <c r="H55" s="167">
        <f>J55*1.05</f>
        <v>26.188785000000003</v>
      </c>
      <c r="I55" s="66"/>
      <c r="J55" s="69">
        <f t="shared" si="8"/>
        <v>24.941700000000001</v>
      </c>
      <c r="K55" s="77">
        <f>18.5*1.26</f>
        <v>23.31</v>
      </c>
    </row>
    <row r="56" spans="2:11" s="64" customFormat="1">
      <c r="B56" s="116" t="s">
        <v>334</v>
      </c>
      <c r="C56" s="146" t="s">
        <v>21</v>
      </c>
      <c r="D56" s="237">
        <f t="shared" ref="D56:D66" si="30">J56*1.25</f>
        <v>33.620737500000004</v>
      </c>
      <c r="E56" s="170">
        <f t="shared" ref="E56:E66" si="31">J56*1.2</f>
        <v>32.275908000000001</v>
      </c>
      <c r="F56" s="161">
        <f t="shared" ref="F56:F66" si="32">J56*1.15</f>
        <v>30.931078500000002</v>
      </c>
      <c r="G56" s="171">
        <f t="shared" ref="G56:G66" si="33">J56*1.1</f>
        <v>29.586249000000006</v>
      </c>
      <c r="H56" s="168">
        <f t="shared" ref="H56:H66" si="34">J56*1.05</f>
        <v>28.241419500000006</v>
      </c>
      <c r="I56" s="66"/>
      <c r="J56" s="69">
        <f t="shared" si="8"/>
        <v>26.896590000000003</v>
      </c>
      <c r="K56" s="77">
        <f>19.95*1.26</f>
        <v>25.137</v>
      </c>
    </row>
    <row r="57" spans="2:11" s="64" customFormat="1">
      <c r="B57" s="116" t="s">
        <v>335</v>
      </c>
      <c r="C57" s="146" t="s">
        <v>21</v>
      </c>
      <c r="D57" s="237">
        <f t="shared" si="30"/>
        <v>33.9914925</v>
      </c>
      <c r="E57" s="170">
        <f t="shared" si="31"/>
        <v>32.631832799999998</v>
      </c>
      <c r="F57" s="161">
        <f t="shared" si="32"/>
        <v>31.2721731</v>
      </c>
      <c r="G57" s="171">
        <f t="shared" si="33"/>
        <v>29.912513400000005</v>
      </c>
      <c r="H57" s="168">
        <f t="shared" si="34"/>
        <v>28.552853700000004</v>
      </c>
      <c r="I57" s="66"/>
      <c r="J57" s="69">
        <f t="shared" si="8"/>
        <v>27.193194000000002</v>
      </c>
      <c r="K57" s="77">
        <f>20.17*1.26</f>
        <v>25.414200000000001</v>
      </c>
    </row>
    <row r="58" spans="2:11" s="64" customFormat="1">
      <c r="B58" s="116" t="s">
        <v>336</v>
      </c>
      <c r="C58" s="146" t="s">
        <v>21</v>
      </c>
      <c r="D58" s="237">
        <f t="shared" si="30"/>
        <v>36.266579999999998</v>
      </c>
      <c r="E58" s="170">
        <f t="shared" si="31"/>
        <v>34.815916799999997</v>
      </c>
      <c r="F58" s="161">
        <f t="shared" si="32"/>
        <v>33.365253599999996</v>
      </c>
      <c r="G58" s="171">
        <f t="shared" si="33"/>
        <v>31.914590400000002</v>
      </c>
      <c r="H58" s="168">
        <f t="shared" si="34"/>
        <v>30.463927200000001</v>
      </c>
      <c r="I58" s="66"/>
      <c r="J58" s="69">
        <f t="shared" si="8"/>
        <v>29.013263999999999</v>
      </c>
      <c r="K58" s="77">
        <f>21.52*1.26</f>
        <v>27.115199999999998</v>
      </c>
    </row>
    <row r="59" spans="2:11" s="64" customFormat="1">
      <c r="B59" s="116" t="s">
        <v>337</v>
      </c>
      <c r="C59" s="146" t="s">
        <v>21</v>
      </c>
      <c r="D59" s="237">
        <f t="shared" si="30"/>
        <v>36.822712500000002</v>
      </c>
      <c r="E59" s="170">
        <f t="shared" si="31"/>
        <v>35.349803999999999</v>
      </c>
      <c r="F59" s="161">
        <f t="shared" si="32"/>
        <v>33.876895500000003</v>
      </c>
      <c r="G59" s="171">
        <f t="shared" si="33"/>
        <v>32.403987000000008</v>
      </c>
      <c r="H59" s="168">
        <f t="shared" si="34"/>
        <v>30.931078500000005</v>
      </c>
      <c r="I59" s="66"/>
      <c r="J59" s="69">
        <f t="shared" si="8"/>
        <v>29.458170000000003</v>
      </c>
      <c r="K59" s="77">
        <f>21.85*1.26</f>
        <v>27.531000000000002</v>
      </c>
    </row>
    <row r="60" spans="2:11" s="64" customFormat="1">
      <c r="B60" s="116" t="s">
        <v>338</v>
      </c>
      <c r="C60" s="146" t="s">
        <v>21</v>
      </c>
      <c r="D60" s="237">
        <f t="shared" si="30"/>
        <v>38.929275000000004</v>
      </c>
      <c r="E60" s="170">
        <f t="shared" si="31"/>
        <v>37.372104</v>
      </c>
      <c r="F60" s="161">
        <f t="shared" si="32"/>
        <v>35.814933000000003</v>
      </c>
      <c r="G60" s="171">
        <f t="shared" si="33"/>
        <v>34.257762000000007</v>
      </c>
      <c r="H60" s="168">
        <f t="shared" si="34"/>
        <v>32.700591000000003</v>
      </c>
      <c r="I60" s="66"/>
      <c r="J60" s="69">
        <f t="shared" si="8"/>
        <v>31.143420000000003</v>
      </c>
      <c r="K60" s="77">
        <f>23.1*1.26</f>
        <v>29.106000000000002</v>
      </c>
    </row>
    <row r="61" spans="2:11" s="64" customFormat="1">
      <c r="B61" s="116" t="s">
        <v>339</v>
      </c>
      <c r="C61" s="146" t="s">
        <v>21</v>
      </c>
      <c r="D61" s="237">
        <f t="shared" si="30"/>
        <v>41.794200000000004</v>
      </c>
      <c r="E61" s="170">
        <f t="shared" si="31"/>
        <v>40.122432000000003</v>
      </c>
      <c r="F61" s="161">
        <f t="shared" si="32"/>
        <v>38.450664000000003</v>
      </c>
      <c r="G61" s="171">
        <f t="shared" si="33"/>
        <v>36.778896000000003</v>
      </c>
      <c r="H61" s="168">
        <f t="shared" si="34"/>
        <v>35.107128000000003</v>
      </c>
      <c r="I61" s="66"/>
      <c r="J61" s="69">
        <f t="shared" si="8"/>
        <v>33.435360000000003</v>
      </c>
      <c r="K61" s="77">
        <f>24.8*1.26</f>
        <v>31.248000000000001</v>
      </c>
    </row>
    <row r="62" spans="2:11" s="64" customFormat="1">
      <c r="B62" s="116" t="s">
        <v>340</v>
      </c>
      <c r="C62" s="146" t="s">
        <v>21</v>
      </c>
      <c r="D62" s="237">
        <f t="shared" si="30"/>
        <v>44.659125000000003</v>
      </c>
      <c r="E62" s="170">
        <f t="shared" si="31"/>
        <v>42.87276</v>
      </c>
      <c r="F62" s="161">
        <f t="shared" si="32"/>
        <v>41.086394999999996</v>
      </c>
      <c r="G62" s="171">
        <f t="shared" si="33"/>
        <v>39.30003</v>
      </c>
      <c r="H62" s="168">
        <f t="shared" si="34"/>
        <v>37.513665000000003</v>
      </c>
      <c r="I62" s="66"/>
      <c r="J62" s="69">
        <f t="shared" si="8"/>
        <v>35.7273</v>
      </c>
      <c r="K62" s="77">
        <f>26.5*1.26</f>
        <v>33.39</v>
      </c>
    </row>
    <row r="63" spans="2:11" s="64" customFormat="1">
      <c r="B63" s="116" t="s">
        <v>341</v>
      </c>
      <c r="C63" s="249" t="s">
        <v>21</v>
      </c>
      <c r="D63" s="237">
        <f t="shared" si="30"/>
        <v>45.838799999999999</v>
      </c>
      <c r="E63" s="170">
        <f t="shared" si="31"/>
        <v>44.005247999999995</v>
      </c>
      <c r="F63" s="161">
        <f t="shared" si="32"/>
        <v>42.171695999999997</v>
      </c>
      <c r="G63" s="171">
        <f t="shared" si="33"/>
        <v>40.338144</v>
      </c>
      <c r="H63" s="168">
        <f t="shared" si="34"/>
        <v>38.504592000000002</v>
      </c>
      <c r="I63" s="66"/>
      <c r="J63" s="69">
        <f t="shared" si="8"/>
        <v>36.671039999999998</v>
      </c>
      <c r="K63" s="77">
        <f>27.2*1.26</f>
        <v>34.271999999999998</v>
      </c>
    </row>
    <row r="64" spans="2:11" s="64" customFormat="1">
      <c r="B64" s="118" t="s">
        <v>342</v>
      </c>
      <c r="C64" s="146" t="s">
        <v>21</v>
      </c>
      <c r="D64" s="247">
        <f t="shared" si="30"/>
        <v>49.377825000000001</v>
      </c>
      <c r="E64" s="227">
        <f t="shared" si="31"/>
        <v>47.402712000000001</v>
      </c>
      <c r="F64" s="180">
        <f t="shared" si="32"/>
        <v>45.427598999999994</v>
      </c>
      <c r="G64" s="181">
        <f t="shared" si="33"/>
        <v>43.452486</v>
      </c>
      <c r="H64" s="179">
        <f t="shared" si="34"/>
        <v>41.477373</v>
      </c>
      <c r="I64" s="66"/>
      <c r="J64" s="69">
        <f t="shared" si="8"/>
        <v>39.50226</v>
      </c>
      <c r="K64" s="77">
        <f>29.3*1.26</f>
        <v>36.917999999999999</v>
      </c>
    </row>
    <row r="65" spans="2:11" s="64" customFormat="1">
      <c r="B65" s="116" t="s">
        <v>343</v>
      </c>
      <c r="C65" s="146" t="s">
        <v>21</v>
      </c>
      <c r="D65" s="237">
        <f t="shared" si="30"/>
        <v>51.905700000000003</v>
      </c>
      <c r="E65" s="170">
        <f t="shared" si="31"/>
        <v>49.829472000000003</v>
      </c>
      <c r="F65" s="161">
        <f t="shared" si="32"/>
        <v>47.753243999999995</v>
      </c>
      <c r="G65" s="171">
        <f t="shared" si="33"/>
        <v>45.677016000000002</v>
      </c>
      <c r="H65" s="168">
        <f t="shared" si="34"/>
        <v>43.600788000000001</v>
      </c>
      <c r="I65" s="66"/>
      <c r="J65" s="69">
        <f t="shared" si="8"/>
        <v>41.524560000000001</v>
      </c>
      <c r="K65" s="77">
        <f>30.8*1.26</f>
        <v>38.808</v>
      </c>
    </row>
    <row r="66" spans="2:11" s="64" customFormat="1" ht="15.75" thickBot="1">
      <c r="B66" s="117" t="s">
        <v>344</v>
      </c>
      <c r="C66" s="148" t="s">
        <v>21</v>
      </c>
      <c r="D66" s="238">
        <f t="shared" si="30"/>
        <v>56.287349999999996</v>
      </c>
      <c r="E66" s="177">
        <f t="shared" si="31"/>
        <v>54.035855999999995</v>
      </c>
      <c r="F66" s="162">
        <f t="shared" si="32"/>
        <v>51.784361999999994</v>
      </c>
      <c r="G66" s="178">
        <f t="shared" si="33"/>
        <v>49.532868000000001</v>
      </c>
      <c r="H66" s="169">
        <f t="shared" si="34"/>
        <v>47.281374</v>
      </c>
      <c r="I66" s="66"/>
      <c r="J66" s="69">
        <f t="shared" si="8"/>
        <v>45.029879999999999</v>
      </c>
      <c r="K66" s="77">
        <f>33.4*1.26</f>
        <v>42.083999999999996</v>
      </c>
    </row>
    <row r="67" spans="2:11" s="89" customFormat="1" ht="15" customHeight="1">
      <c r="B67" s="82"/>
      <c r="C67" s="149"/>
      <c r="D67" s="84"/>
      <c r="E67" s="84"/>
      <c r="F67" s="84"/>
      <c r="G67" s="84"/>
      <c r="H67" s="84"/>
      <c r="I67" s="85"/>
      <c r="J67" s="86"/>
      <c r="K67" s="88"/>
    </row>
    <row r="68" spans="2:11" s="89" customFormat="1" ht="15" customHeight="1">
      <c r="B68" s="82"/>
      <c r="C68" s="149"/>
      <c r="D68" s="84"/>
      <c r="E68" s="84"/>
      <c r="F68" s="84"/>
      <c r="G68" s="84"/>
      <c r="H68" s="84"/>
      <c r="I68" s="85"/>
      <c r="J68" s="86"/>
      <c r="K68" s="88"/>
    </row>
    <row r="69" spans="2:11" s="89" customFormat="1" ht="15" customHeight="1">
      <c r="B69" s="82"/>
      <c r="C69" s="149"/>
      <c r="D69" s="84"/>
      <c r="E69" s="84"/>
      <c r="F69" s="84"/>
      <c r="G69" s="84"/>
      <c r="H69" s="84"/>
      <c r="I69" s="85"/>
      <c r="J69" s="86"/>
      <c r="K69" s="88"/>
    </row>
    <row r="70" spans="2:11" s="89" customFormat="1" ht="15" customHeight="1">
      <c r="B70" s="82"/>
      <c r="C70" s="149"/>
      <c r="D70" s="84"/>
      <c r="E70" s="84"/>
      <c r="F70" s="84"/>
      <c r="G70" s="84"/>
      <c r="H70" s="84"/>
      <c r="I70" s="85"/>
      <c r="J70" s="86"/>
      <c r="K70" s="88"/>
    </row>
    <row r="71" spans="2:11" s="89" customFormat="1" ht="15" customHeight="1">
      <c r="B71" s="82"/>
      <c r="C71" s="149"/>
      <c r="D71" s="84"/>
      <c r="E71" s="84"/>
      <c r="F71" s="84"/>
      <c r="G71" s="84"/>
      <c r="H71" s="84"/>
      <c r="I71" s="85"/>
      <c r="J71" s="86"/>
      <c r="K71" s="88"/>
    </row>
    <row r="72" spans="2:11" s="89" customFormat="1" ht="15" customHeight="1">
      <c r="B72" s="82"/>
      <c r="C72" s="149"/>
      <c r="D72" s="84"/>
      <c r="E72" s="84"/>
      <c r="F72" s="84"/>
      <c r="G72" s="84"/>
      <c r="H72" s="84"/>
      <c r="I72" s="85"/>
      <c r="J72" s="86"/>
      <c r="K72" s="88"/>
    </row>
    <row r="73" spans="2:11" s="89" customFormat="1">
      <c r="B73" s="82"/>
      <c r="C73" s="149"/>
      <c r="D73" s="84"/>
      <c r="E73" s="84"/>
      <c r="F73" s="84"/>
      <c r="G73" s="84"/>
      <c r="H73" s="84"/>
      <c r="I73" s="85"/>
      <c r="J73" s="86"/>
      <c r="K73" s="88"/>
    </row>
    <row r="74" spans="2:11" s="89" customFormat="1">
      <c r="B74" s="82"/>
      <c r="C74" s="149"/>
      <c r="D74" s="84"/>
      <c r="E74" s="84"/>
      <c r="F74" s="84"/>
      <c r="G74" s="84"/>
      <c r="H74" s="84"/>
      <c r="I74" s="85"/>
      <c r="J74" s="86"/>
      <c r="K74" s="88"/>
    </row>
    <row r="75" spans="2:11" s="89" customFormat="1">
      <c r="B75" s="82"/>
      <c r="C75" s="149"/>
      <c r="D75" s="84"/>
      <c r="E75" s="84"/>
      <c r="F75" s="84"/>
      <c r="G75" s="84"/>
      <c r="H75" s="84"/>
      <c r="I75" s="85"/>
      <c r="J75" s="86"/>
      <c r="K75" s="88"/>
    </row>
    <row r="76" spans="2:11" s="89" customFormat="1">
      <c r="B76" s="82"/>
      <c r="C76" s="149"/>
      <c r="D76" s="84"/>
      <c r="E76" s="84"/>
      <c r="F76" s="84"/>
      <c r="G76" s="84"/>
      <c r="H76" s="84"/>
      <c r="I76" s="85"/>
      <c r="J76" s="86"/>
      <c r="K76" s="88"/>
    </row>
    <row r="77" spans="2:11" s="89" customFormat="1">
      <c r="B77" s="82"/>
      <c r="C77" s="149"/>
      <c r="D77" s="84"/>
      <c r="E77" s="84"/>
      <c r="F77" s="84"/>
      <c r="G77" s="84"/>
      <c r="H77" s="84"/>
      <c r="I77" s="85"/>
      <c r="J77" s="86"/>
      <c r="K77" s="88"/>
    </row>
    <row r="78" spans="2:11" s="89" customFormat="1">
      <c r="B78" s="82"/>
      <c r="C78" s="149"/>
      <c r="D78" s="84"/>
      <c r="E78" s="84"/>
      <c r="F78" s="84"/>
      <c r="G78" s="84"/>
      <c r="H78" s="84"/>
      <c r="I78" s="85"/>
      <c r="J78" s="86"/>
      <c r="K78" s="88"/>
    </row>
    <row r="79" spans="2:11" s="89" customFormat="1">
      <c r="B79" s="82"/>
      <c r="C79" s="149"/>
      <c r="D79" s="84"/>
      <c r="E79" s="84"/>
      <c r="F79" s="84"/>
      <c r="G79" s="84"/>
      <c r="H79" s="84"/>
      <c r="I79" s="85"/>
      <c r="J79" s="86"/>
      <c r="K79" s="88"/>
    </row>
    <row r="80" spans="2:11" s="89" customFormat="1">
      <c r="B80" s="82"/>
      <c r="C80" s="149"/>
      <c r="D80" s="84"/>
      <c r="E80" s="84"/>
      <c r="F80" s="84"/>
      <c r="G80" s="84"/>
      <c r="H80" s="84"/>
      <c r="I80" s="85"/>
      <c r="J80" s="86"/>
      <c r="K80" s="88"/>
    </row>
    <row r="81" spans="2:11" s="89" customFormat="1">
      <c r="B81" s="82"/>
      <c r="C81" s="149"/>
      <c r="D81" s="84"/>
      <c r="E81" s="84"/>
      <c r="F81" s="84"/>
      <c r="G81" s="84"/>
      <c r="H81" s="84"/>
      <c r="I81" s="85"/>
      <c r="J81" s="86"/>
      <c r="K81" s="88"/>
    </row>
    <row r="82" spans="2:11" s="89" customFormat="1">
      <c r="B82" s="82"/>
      <c r="C82" s="149"/>
      <c r="D82" s="84"/>
      <c r="E82" s="84"/>
      <c r="F82" s="84"/>
      <c r="G82" s="84"/>
      <c r="H82" s="84"/>
      <c r="I82" s="85"/>
      <c r="J82" s="86"/>
      <c r="K82" s="88"/>
    </row>
    <row r="83" spans="2:11" s="89" customFormat="1">
      <c r="B83" s="82"/>
      <c r="C83" s="149"/>
      <c r="D83" s="84"/>
      <c r="E83" s="84"/>
      <c r="F83" s="84"/>
      <c r="G83" s="84"/>
      <c r="H83" s="84"/>
      <c r="I83" s="85"/>
      <c r="J83" s="86"/>
      <c r="K83" s="88"/>
    </row>
    <row r="84" spans="2:11" s="89" customFormat="1">
      <c r="B84" s="82"/>
      <c r="C84" s="149"/>
      <c r="D84" s="84"/>
      <c r="E84" s="84"/>
      <c r="F84" s="84"/>
      <c r="G84" s="84"/>
      <c r="H84" s="84"/>
      <c r="I84" s="85"/>
      <c r="J84" s="86"/>
      <c r="K84" s="88"/>
    </row>
    <row r="85" spans="2:11" s="89" customFormat="1">
      <c r="B85" s="82"/>
      <c r="C85" s="149"/>
      <c r="D85" s="84"/>
      <c r="E85" s="84"/>
      <c r="F85" s="84"/>
      <c r="G85" s="84"/>
      <c r="H85" s="84"/>
      <c r="I85" s="85"/>
      <c r="J85" s="86"/>
      <c r="K85" s="88"/>
    </row>
    <row r="86" spans="2:11" s="89" customFormat="1">
      <c r="B86" s="82"/>
      <c r="C86" s="149"/>
      <c r="D86" s="84"/>
      <c r="E86" s="84"/>
      <c r="F86" s="84"/>
      <c r="G86" s="84"/>
      <c r="H86" s="84"/>
      <c r="I86" s="85"/>
      <c r="J86" s="86"/>
      <c r="K86" s="88"/>
    </row>
    <row r="87" spans="2:11" s="89" customFormat="1">
      <c r="B87" s="82"/>
      <c r="C87" s="149"/>
      <c r="D87" s="84"/>
      <c r="E87" s="84"/>
      <c r="F87" s="84"/>
      <c r="G87" s="84"/>
      <c r="H87" s="84"/>
      <c r="I87" s="85"/>
      <c r="J87" s="86"/>
      <c r="K87" s="88"/>
    </row>
    <row r="88" spans="2:11" s="89" customFormat="1">
      <c r="B88" s="82"/>
      <c r="C88" s="149"/>
      <c r="D88" s="84"/>
      <c r="E88" s="84"/>
      <c r="F88" s="84"/>
      <c r="G88" s="84"/>
      <c r="H88" s="84"/>
      <c r="I88" s="85"/>
      <c r="J88" s="86"/>
      <c r="K88" s="88"/>
    </row>
    <row r="89" spans="2:11" s="89" customFormat="1">
      <c r="B89" s="82"/>
      <c r="C89" s="149"/>
      <c r="D89" s="84"/>
      <c r="E89" s="84"/>
      <c r="F89" s="84"/>
      <c r="G89" s="84"/>
      <c r="H89" s="84"/>
      <c r="I89" s="85"/>
      <c r="J89" s="86"/>
      <c r="K89" s="88"/>
    </row>
    <row r="90" spans="2:11" s="89" customFormat="1">
      <c r="B90" s="82"/>
      <c r="C90" s="149"/>
      <c r="D90" s="84"/>
      <c r="E90" s="84"/>
      <c r="F90" s="84"/>
      <c r="G90" s="84"/>
      <c r="H90" s="84"/>
      <c r="I90" s="85"/>
      <c r="J90" s="86"/>
      <c r="K90" s="88"/>
    </row>
    <row r="91" spans="2:11" s="89" customFormat="1">
      <c r="B91" s="82"/>
      <c r="C91" s="149"/>
      <c r="D91" s="84"/>
      <c r="E91" s="84"/>
      <c r="F91" s="84"/>
      <c r="G91" s="84"/>
      <c r="H91" s="84"/>
      <c r="I91" s="85"/>
      <c r="J91" s="86"/>
      <c r="K91" s="88"/>
    </row>
    <row r="92" spans="2:11" s="89" customFormat="1">
      <c r="B92" s="82"/>
      <c r="C92" s="149"/>
      <c r="D92" s="84"/>
      <c r="E92" s="84"/>
      <c r="F92" s="84"/>
      <c r="G92" s="84"/>
      <c r="H92" s="84"/>
      <c r="I92" s="85"/>
      <c r="J92" s="86"/>
      <c r="K92" s="88"/>
    </row>
    <row r="93" spans="2:11" s="89" customFormat="1">
      <c r="B93" s="82"/>
      <c r="C93" s="149"/>
      <c r="D93" s="84"/>
      <c r="E93" s="84"/>
      <c r="F93" s="84"/>
      <c r="G93" s="84"/>
      <c r="H93" s="84"/>
      <c r="I93" s="85"/>
      <c r="J93" s="86"/>
      <c r="K93" s="88"/>
    </row>
    <row r="94" spans="2:11" s="89" customFormat="1">
      <c r="B94" s="82"/>
      <c r="C94" s="149"/>
      <c r="D94" s="84"/>
      <c r="E94" s="84"/>
      <c r="F94" s="84"/>
      <c r="G94" s="84"/>
      <c r="H94" s="84"/>
      <c r="I94" s="85"/>
      <c r="J94" s="86"/>
      <c r="K94" s="88"/>
    </row>
    <row r="95" spans="2:11" s="89" customFormat="1">
      <c r="B95" s="82"/>
      <c r="C95" s="149"/>
      <c r="D95" s="84"/>
      <c r="E95" s="84"/>
      <c r="F95" s="84"/>
      <c r="G95" s="84"/>
      <c r="H95" s="84"/>
      <c r="I95" s="85"/>
      <c r="J95" s="86"/>
      <c r="K95" s="88"/>
    </row>
    <row r="96" spans="2:11" s="89" customFormat="1">
      <c r="B96" s="82"/>
      <c r="C96" s="149"/>
      <c r="D96" s="84"/>
      <c r="E96" s="84"/>
      <c r="F96" s="84"/>
      <c r="G96" s="84"/>
      <c r="H96" s="84"/>
      <c r="I96" s="85"/>
      <c r="J96" s="86"/>
      <c r="K96" s="88"/>
    </row>
    <row r="97" spans="2:11" s="89" customFormat="1">
      <c r="B97" s="82"/>
      <c r="C97" s="149"/>
      <c r="D97" s="84"/>
      <c r="E97" s="84"/>
      <c r="F97" s="84"/>
      <c r="G97" s="84"/>
      <c r="H97" s="84"/>
      <c r="I97" s="85"/>
      <c r="J97" s="86"/>
      <c r="K97" s="88"/>
    </row>
    <row r="98" spans="2:11" s="89" customFormat="1">
      <c r="B98" s="82"/>
      <c r="C98" s="149"/>
      <c r="D98" s="2"/>
      <c r="E98" s="2"/>
      <c r="F98" s="2"/>
      <c r="G98" s="81"/>
      <c r="H98" s="81"/>
      <c r="I98" s="85"/>
      <c r="J98" s="86"/>
      <c r="K98" s="88"/>
    </row>
  </sheetData>
  <customSheetViews>
    <customSheetView guid="{FBB3E572-A647-4B8C-96C7-F43FE4F7CAA8}" scale="120" showPageBreaks="1" fitToPage="1" printArea="1" hiddenColumns="1" view="pageBreakPreview">
      <pane ySplit="4" topLeftCell="A47" activePane="bottomLeft" state="frozen"/>
      <selection pane="bottomLeft" activeCell="N64" sqref="N64"/>
      <pageMargins left="1.1811023622047245" right="0.27559055118110237" top="0.39370078740157483" bottom="0.23622047244094491" header="0.31496062992125984" footer="0.19685039370078741"/>
      <pageSetup paperSize="9" scale="81" orientation="portrait" verticalDpi="0" r:id="rId1"/>
    </customSheetView>
    <customSheetView guid="{900EF7B2-0D63-4DE2-9CFC-2D2B3788802C}" scale="120" showPageBreaks="1" fitToPage="1" printArea="1" hiddenColumns="1" view="pageBreakPreview">
      <pane ySplit="4" topLeftCell="A38"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2"/>
    </customSheetView>
    <customSheetView guid="{CC6D6007-EFDE-464F-BD7C-A67043AC5D5C}" scale="120" showPageBreaks="1" fitToPage="1" printArea="1" hiddenColumns="1" view="pageBreakPreview">
      <pane ySplit="4" topLeftCell="A56"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3"/>
    </customSheetView>
    <customSheetView guid="{C0FE86CC-5BB4-4265-957F-F51B909B3E81}" scale="120" showPageBreaks="1" fitToPage="1" printArea="1" hiddenColumns="1" view="pageBreakPreview">
      <pane ySplit="4" topLeftCell="A5"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4"/>
    </customSheetView>
  </customSheetViews>
  <mergeCells count="5">
    <mergeCell ref="J3:J5"/>
    <mergeCell ref="K3:K5"/>
    <mergeCell ref="D3:H3"/>
    <mergeCell ref="B3:B4"/>
    <mergeCell ref="C3:C4"/>
  </mergeCells>
  <pageMargins left="1.1811023622047245" right="0.27559055118110237" top="0.39370078740157483" bottom="0.23622047244094491" header="0.31496062992125984" footer="0.19685039370078741"/>
  <pageSetup paperSize="9" scale="81" orientation="portrait" verticalDpi="0" r:id="rId5"/>
  <legacyDrawing r:id="rId6"/>
</worksheet>
</file>

<file path=xl/worksheets/sheet13.xml><?xml version="1.0" encoding="utf-8"?>
<worksheet xmlns="http://schemas.openxmlformats.org/spreadsheetml/2006/main" xmlns:r="http://schemas.openxmlformats.org/officeDocument/2006/relationships">
  <dimension ref="A1:E48"/>
  <sheetViews>
    <sheetView workbookViewId="0">
      <pane ySplit="4" topLeftCell="A29" activePane="bottomLeft" state="frozen"/>
      <selection pane="bottomLeft" activeCell="C8" sqref="C8"/>
    </sheetView>
  </sheetViews>
  <sheetFormatPr defaultRowHeight="15"/>
  <cols>
    <col min="1" max="1" width="69.42578125" customWidth="1"/>
    <col min="2" max="2" width="13.5703125" customWidth="1"/>
    <col min="3" max="3" width="21" style="601" customWidth="1"/>
    <col min="4" max="4" width="17.140625" hidden="1" customWidth="1"/>
    <col min="5" max="5" width="21.28515625" style="601" customWidth="1"/>
  </cols>
  <sheetData>
    <row r="1" spans="1:5" ht="24" customHeight="1">
      <c r="A1" s="576" t="s">
        <v>816</v>
      </c>
    </row>
    <row r="2" spans="1:5" ht="33" customHeight="1">
      <c r="A2" s="584" t="s">
        <v>817</v>
      </c>
      <c r="B2" s="584"/>
      <c r="C2" s="592"/>
    </row>
    <row r="3" spans="1:5" ht="18.75" thickBot="1">
      <c r="A3" s="585"/>
      <c r="B3" s="585"/>
      <c r="C3" s="593"/>
    </row>
    <row r="4" spans="1:5" ht="34.5" customHeight="1" thickBot="1">
      <c r="A4" s="586" t="s">
        <v>781</v>
      </c>
      <c r="B4" s="587" t="s">
        <v>818</v>
      </c>
      <c r="C4" s="594" t="s">
        <v>869</v>
      </c>
      <c r="D4" s="570"/>
      <c r="E4" s="594" t="s">
        <v>868</v>
      </c>
    </row>
    <row r="5" spans="1:5" ht="20.25" customHeight="1" thickBot="1">
      <c r="A5" s="606" t="s">
        <v>819</v>
      </c>
      <c r="B5" s="606"/>
      <c r="C5" s="607"/>
      <c r="D5" s="608"/>
      <c r="E5" s="607"/>
    </row>
    <row r="6" spans="1:5" ht="15" customHeight="1">
      <c r="A6" s="596" t="s">
        <v>820</v>
      </c>
      <c r="B6" s="597" t="s">
        <v>821</v>
      </c>
      <c r="C6" s="600">
        <f>D6*1.5/1000</f>
        <v>3.5181449999999996</v>
      </c>
      <c r="D6" s="602">
        <v>2345.4299999999998</v>
      </c>
      <c r="E6" s="600">
        <f>C6/1.1</f>
        <v>3.1983136363636357</v>
      </c>
    </row>
    <row r="7" spans="1:5" ht="15" customHeight="1">
      <c r="A7" s="596" t="s">
        <v>822</v>
      </c>
      <c r="B7" s="597" t="s">
        <v>823</v>
      </c>
      <c r="C7" s="600">
        <f t="shared" ref="C7:C48" si="0">D7*1.5/1000</f>
        <v>4.3794300000000002</v>
      </c>
      <c r="D7" s="602">
        <v>2919.62</v>
      </c>
      <c r="E7" s="600">
        <f t="shared" ref="E7:E48" si="1">C7/1.1</f>
        <v>3.9812999999999996</v>
      </c>
    </row>
    <row r="8" spans="1:5" ht="15" customHeight="1">
      <c r="A8" s="596" t="s">
        <v>824</v>
      </c>
      <c r="B8" s="597" t="s">
        <v>825</v>
      </c>
      <c r="C8" s="600">
        <f t="shared" si="0"/>
        <v>4.8457049999999997</v>
      </c>
      <c r="D8" s="602">
        <v>3230.47</v>
      </c>
      <c r="E8" s="600">
        <f t="shared" si="1"/>
        <v>4.4051863636363633</v>
      </c>
    </row>
    <row r="9" spans="1:5" ht="15" customHeight="1">
      <c r="A9" s="596" t="s">
        <v>826</v>
      </c>
      <c r="B9" s="597" t="s">
        <v>827</v>
      </c>
      <c r="C9" s="600">
        <f t="shared" si="0"/>
        <v>5.4034800000000001</v>
      </c>
      <c r="D9" s="602">
        <v>3602.32</v>
      </c>
      <c r="E9" s="600">
        <f t="shared" si="1"/>
        <v>4.9122545454545454</v>
      </c>
    </row>
    <row r="10" spans="1:5" ht="15" customHeight="1">
      <c r="A10" s="596" t="s">
        <v>828</v>
      </c>
      <c r="B10" s="597" t="s">
        <v>827</v>
      </c>
      <c r="C10" s="600">
        <f t="shared" si="0"/>
        <v>6.0034349999999996</v>
      </c>
      <c r="D10" s="602">
        <v>4002.29</v>
      </c>
      <c r="E10" s="600">
        <f t="shared" si="1"/>
        <v>5.4576681818181809</v>
      </c>
    </row>
    <row r="11" spans="1:5" ht="15" customHeight="1">
      <c r="A11" s="596" t="s">
        <v>829</v>
      </c>
      <c r="B11" s="597" t="s">
        <v>827</v>
      </c>
      <c r="C11" s="600">
        <f t="shared" si="0"/>
        <v>6.6227999999999989</v>
      </c>
      <c r="D11" s="602">
        <v>4415.2</v>
      </c>
      <c r="E11" s="600">
        <f t="shared" si="1"/>
        <v>6.0207272727272709</v>
      </c>
    </row>
    <row r="12" spans="1:5" ht="15" customHeight="1">
      <c r="A12" s="596" t="s">
        <v>830</v>
      </c>
      <c r="B12" s="597" t="s">
        <v>831</v>
      </c>
      <c r="C12" s="600">
        <f t="shared" si="0"/>
        <v>7.5922499999999999</v>
      </c>
      <c r="D12" s="602">
        <v>5061.5</v>
      </c>
      <c r="E12" s="600">
        <f t="shared" si="1"/>
        <v>6.9020454545454539</v>
      </c>
    </row>
    <row r="13" spans="1:5" ht="15" customHeight="1">
      <c r="A13" s="596" t="s">
        <v>832</v>
      </c>
      <c r="B13" s="597" t="s">
        <v>831</v>
      </c>
      <c r="C13" s="600">
        <f t="shared" si="0"/>
        <v>12.60777</v>
      </c>
      <c r="D13" s="602">
        <v>8405.18</v>
      </c>
      <c r="E13" s="600">
        <f t="shared" si="1"/>
        <v>11.461609090909091</v>
      </c>
    </row>
    <row r="14" spans="1:5" ht="15" customHeight="1" thickBot="1">
      <c r="A14" s="609" t="s">
        <v>833</v>
      </c>
      <c r="B14" s="590" t="s">
        <v>831</v>
      </c>
      <c r="C14" s="610">
        <f t="shared" si="0"/>
        <v>13.74498</v>
      </c>
      <c r="D14" s="603">
        <v>9163.32</v>
      </c>
      <c r="E14" s="610">
        <f t="shared" si="1"/>
        <v>12.495436363636363</v>
      </c>
    </row>
    <row r="15" spans="1:5" ht="34.5" customHeight="1" thickBot="1">
      <c r="A15" s="595" t="s">
        <v>834</v>
      </c>
      <c r="B15" s="588"/>
      <c r="C15" s="615"/>
      <c r="D15" s="570"/>
      <c r="E15" s="616"/>
    </row>
    <row r="16" spans="1:5" ht="15" customHeight="1">
      <c r="A16" s="611" t="s">
        <v>835</v>
      </c>
      <c r="B16" s="612" t="s">
        <v>823</v>
      </c>
      <c r="C16" s="613">
        <f t="shared" si="0"/>
        <v>5.5565699999999998</v>
      </c>
      <c r="D16" s="602">
        <v>3704.38</v>
      </c>
      <c r="E16" s="613">
        <f t="shared" si="1"/>
        <v>5.0514272727272722</v>
      </c>
    </row>
    <row r="17" spans="1:5" ht="15" customHeight="1">
      <c r="A17" s="596" t="s">
        <v>836</v>
      </c>
      <c r="B17" s="598" t="s">
        <v>825</v>
      </c>
      <c r="C17" s="600">
        <f t="shared" si="0"/>
        <v>6.2163900000000005</v>
      </c>
      <c r="D17" s="602">
        <v>4144.26</v>
      </c>
      <c r="E17" s="600">
        <f t="shared" si="1"/>
        <v>5.6512636363636366</v>
      </c>
    </row>
    <row r="18" spans="1:5" ht="15" customHeight="1">
      <c r="A18" s="596" t="s">
        <v>837</v>
      </c>
      <c r="B18" s="598" t="s">
        <v>827</v>
      </c>
      <c r="C18" s="600">
        <f t="shared" si="0"/>
        <v>6.914835000000001</v>
      </c>
      <c r="D18" s="602">
        <v>4609.8900000000003</v>
      </c>
      <c r="E18" s="600">
        <f t="shared" si="1"/>
        <v>6.2862136363636365</v>
      </c>
    </row>
    <row r="19" spans="1:5" ht="15" customHeight="1">
      <c r="A19" s="596" t="s">
        <v>838</v>
      </c>
      <c r="B19" s="598" t="s">
        <v>827</v>
      </c>
      <c r="C19" s="600">
        <f t="shared" si="0"/>
        <v>7.477875</v>
      </c>
      <c r="D19" s="602">
        <v>4985.25</v>
      </c>
      <c r="E19" s="600">
        <f t="shared" si="1"/>
        <v>6.7980681818181816</v>
      </c>
    </row>
    <row r="20" spans="1:5" ht="15" customHeight="1">
      <c r="A20" s="596" t="s">
        <v>839</v>
      </c>
      <c r="B20" s="598" t="s">
        <v>827</v>
      </c>
      <c r="C20" s="600">
        <f t="shared" si="0"/>
        <v>8.0497199999999989</v>
      </c>
      <c r="D20" s="602">
        <v>5366.48</v>
      </c>
      <c r="E20" s="600">
        <f t="shared" si="1"/>
        <v>7.3179272727272711</v>
      </c>
    </row>
    <row r="21" spans="1:5" ht="15" customHeight="1">
      <c r="A21" s="596" t="s">
        <v>840</v>
      </c>
      <c r="B21" s="598" t="s">
        <v>831</v>
      </c>
      <c r="C21" s="600">
        <f t="shared" si="0"/>
        <v>9.330705</v>
      </c>
      <c r="D21" s="602">
        <v>6220.47</v>
      </c>
      <c r="E21" s="600">
        <f t="shared" si="1"/>
        <v>8.4824590909090904</v>
      </c>
    </row>
    <row r="22" spans="1:5" ht="15" customHeight="1">
      <c r="A22" s="596" t="s">
        <v>841</v>
      </c>
      <c r="B22" s="598" t="s">
        <v>831</v>
      </c>
      <c r="C22" s="600">
        <f t="shared" si="0"/>
        <v>15.034665</v>
      </c>
      <c r="D22" s="602">
        <v>10023.11</v>
      </c>
      <c r="E22" s="600">
        <f t="shared" si="1"/>
        <v>13.667877272727273</v>
      </c>
    </row>
    <row r="23" spans="1:5" ht="15" customHeight="1" thickBot="1">
      <c r="A23" s="609" t="s">
        <v>842</v>
      </c>
      <c r="B23" s="614" t="s">
        <v>831</v>
      </c>
      <c r="C23" s="610">
        <f t="shared" si="0"/>
        <v>16.244670000000003</v>
      </c>
      <c r="D23" s="603">
        <v>10829.78</v>
      </c>
      <c r="E23" s="610">
        <f t="shared" si="1"/>
        <v>14.76788181818182</v>
      </c>
    </row>
    <row r="24" spans="1:5" ht="35.25" customHeight="1" thickBot="1">
      <c r="A24" s="595" t="s">
        <v>843</v>
      </c>
      <c r="B24" s="588"/>
      <c r="C24" s="615"/>
      <c r="D24" s="570"/>
      <c r="E24" s="616"/>
    </row>
    <row r="25" spans="1:5" ht="15" customHeight="1">
      <c r="A25" s="611" t="s">
        <v>844</v>
      </c>
      <c r="B25" s="612" t="s">
        <v>821</v>
      </c>
      <c r="C25" s="613">
        <f t="shared" si="0"/>
        <v>1.9129350000000001</v>
      </c>
      <c r="D25" s="602">
        <v>1275.29</v>
      </c>
      <c r="E25" s="613">
        <f t="shared" si="1"/>
        <v>1.7390318181818181</v>
      </c>
    </row>
    <row r="26" spans="1:5" ht="15" customHeight="1">
      <c r="A26" s="596" t="s">
        <v>845</v>
      </c>
      <c r="B26" s="598" t="s">
        <v>821</v>
      </c>
      <c r="C26" s="600">
        <f t="shared" si="0"/>
        <v>1.98177</v>
      </c>
      <c r="D26" s="602">
        <v>1321.18</v>
      </c>
      <c r="E26" s="600">
        <f t="shared" si="1"/>
        <v>1.8016090909090907</v>
      </c>
    </row>
    <row r="27" spans="1:5" ht="15" customHeight="1">
      <c r="A27" s="596" t="s">
        <v>846</v>
      </c>
      <c r="B27" s="598" t="s">
        <v>847</v>
      </c>
      <c r="C27" s="600">
        <f t="shared" si="0"/>
        <v>2.1645299999999996</v>
      </c>
      <c r="D27" s="602">
        <v>1443.02</v>
      </c>
      <c r="E27" s="600">
        <f t="shared" si="1"/>
        <v>1.9677545454545449</v>
      </c>
    </row>
    <row r="28" spans="1:5" ht="15" customHeight="1">
      <c r="A28" s="596" t="s">
        <v>848</v>
      </c>
      <c r="B28" s="598" t="s">
        <v>823</v>
      </c>
      <c r="C28" s="600">
        <f t="shared" si="0"/>
        <v>2.2514700000000003</v>
      </c>
      <c r="D28" s="602">
        <v>1500.98</v>
      </c>
      <c r="E28" s="600">
        <f t="shared" si="1"/>
        <v>2.0467909090909093</v>
      </c>
    </row>
    <row r="29" spans="1:5" ht="15" customHeight="1">
      <c r="A29" s="596" t="s">
        <v>849</v>
      </c>
      <c r="B29" s="598" t="s">
        <v>823</v>
      </c>
      <c r="C29" s="600">
        <f t="shared" si="0"/>
        <v>2.3577300000000001</v>
      </c>
      <c r="D29" s="602">
        <v>1571.82</v>
      </c>
      <c r="E29" s="600">
        <f t="shared" si="1"/>
        <v>2.1433909090909089</v>
      </c>
    </row>
    <row r="30" spans="1:5" ht="15" customHeight="1">
      <c r="A30" s="596" t="s">
        <v>850</v>
      </c>
      <c r="B30" s="598" t="s">
        <v>825</v>
      </c>
      <c r="C30" s="600">
        <f t="shared" si="0"/>
        <v>2.6026799999999999</v>
      </c>
      <c r="D30" s="602">
        <v>1735.12</v>
      </c>
      <c r="E30" s="600">
        <f t="shared" si="1"/>
        <v>2.3660727272727269</v>
      </c>
    </row>
    <row r="31" spans="1:5" ht="15" customHeight="1">
      <c r="A31" s="596" t="s">
        <v>851</v>
      </c>
      <c r="B31" s="598" t="s">
        <v>827</v>
      </c>
      <c r="C31" s="600">
        <f t="shared" si="0"/>
        <v>2.8546199999999997</v>
      </c>
      <c r="D31" s="602">
        <v>1903.08</v>
      </c>
      <c r="E31" s="600">
        <f t="shared" si="1"/>
        <v>2.5951090909090904</v>
      </c>
    </row>
    <row r="32" spans="1:5" ht="15" customHeight="1">
      <c r="A32" s="596" t="s">
        <v>852</v>
      </c>
      <c r="B32" s="598" t="s">
        <v>827</v>
      </c>
      <c r="C32" s="600">
        <f t="shared" si="0"/>
        <v>3.05661</v>
      </c>
      <c r="D32" s="602">
        <v>2037.74</v>
      </c>
      <c r="E32" s="600">
        <f t="shared" si="1"/>
        <v>2.7787363636363636</v>
      </c>
    </row>
    <row r="33" spans="1:5" ht="15" customHeight="1">
      <c r="A33" s="596" t="s">
        <v>853</v>
      </c>
      <c r="B33" s="598" t="s">
        <v>827</v>
      </c>
      <c r="C33" s="600">
        <f t="shared" si="0"/>
        <v>3.2876849999999997</v>
      </c>
      <c r="D33" s="602">
        <v>2191.79</v>
      </c>
      <c r="E33" s="600">
        <f t="shared" si="1"/>
        <v>2.9888045454545451</v>
      </c>
    </row>
    <row r="34" spans="1:5" ht="15" customHeight="1" thickBot="1">
      <c r="A34" s="609" t="s">
        <v>854</v>
      </c>
      <c r="B34" s="614" t="s">
        <v>831</v>
      </c>
      <c r="C34" s="610">
        <f t="shared" si="0"/>
        <v>3.5453999999999994</v>
      </c>
      <c r="D34" s="603">
        <v>2363.6</v>
      </c>
      <c r="E34" s="610">
        <f t="shared" si="1"/>
        <v>3.2230909090909083</v>
      </c>
    </row>
    <row r="35" spans="1:5" ht="21" customHeight="1" thickBot="1">
      <c r="A35" s="595" t="s">
        <v>345</v>
      </c>
      <c r="B35" s="588"/>
      <c r="C35" s="615"/>
      <c r="D35" s="570"/>
      <c r="E35" s="616"/>
    </row>
    <row r="36" spans="1:5" ht="18.75">
      <c r="A36" s="617" t="s">
        <v>855</v>
      </c>
      <c r="B36" s="612" t="s">
        <v>856</v>
      </c>
      <c r="C36" s="613">
        <f t="shared" si="0"/>
        <v>0.61582500000000007</v>
      </c>
      <c r="D36" s="618">
        <v>410.55</v>
      </c>
      <c r="E36" s="613">
        <f t="shared" si="1"/>
        <v>0.55984090909090911</v>
      </c>
    </row>
    <row r="37" spans="1:5" ht="18.75">
      <c r="A37" s="599" t="s">
        <v>855</v>
      </c>
      <c r="B37" s="589">
        <v>3000</v>
      </c>
      <c r="C37" s="600">
        <f t="shared" si="0"/>
        <v>0.52784999999999993</v>
      </c>
      <c r="D37" s="604">
        <v>351.9</v>
      </c>
      <c r="E37" s="600">
        <f t="shared" si="1"/>
        <v>0.47986363636363627</v>
      </c>
    </row>
    <row r="38" spans="1:5" ht="19.5" thickBot="1">
      <c r="A38" s="622" t="s">
        <v>857</v>
      </c>
      <c r="B38" s="590" t="s">
        <v>821</v>
      </c>
      <c r="C38" s="610">
        <f t="shared" si="0"/>
        <v>1.3239449999999999</v>
      </c>
      <c r="D38" s="605">
        <v>882.63</v>
      </c>
      <c r="E38" s="610">
        <f t="shared" si="1"/>
        <v>1.2035863636363635</v>
      </c>
    </row>
    <row r="39" spans="1:5" ht="36.75" customHeight="1" thickBot="1">
      <c r="A39" s="623" t="s">
        <v>858</v>
      </c>
      <c r="B39" s="591"/>
      <c r="C39" s="615"/>
      <c r="D39" s="570"/>
      <c r="E39" s="616"/>
    </row>
    <row r="40" spans="1:5" ht="18.75">
      <c r="A40" s="611" t="s">
        <v>859</v>
      </c>
      <c r="B40" s="612" t="s">
        <v>821</v>
      </c>
      <c r="C40" s="613">
        <f t="shared" si="0"/>
        <v>3.6238800000000002</v>
      </c>
      <c r="D40" s="602">
        <v>2415.92</v>
      </c>
      <c r="E40" s="613">
        <f t="shared" si="1"/>
        <v>3.2944363636363634</v>
      </c>
    </row>
    <row r="41" spans="1:5" ht="18.75">
      <c r="A41" s="596" t="s">
        <v>860</v>
      </c>
      <c r="B41" s="598" t="s">
        <v>823</v>
      </c>
      <c r="C41" s="600">
        <f t="shared" si="0"/>
        <v>4.5107100000000004</v>
      </c>
      <c r="D41" s="602">
        <v>3007.14</v>
      </c>
      <c r="E41" s="600">
        <f t="shared" si="1"/>
        <v>4.1006454545454547</v>
      </c>
    </row>
    <row r="42" spans="1:5" ht="18.75">
      <c r="A42" s="596" t="s">
        <v>861</v>
      </c>
      <c r="B42" s="598" t="s">
        <v>825</v>
      </c>
      <c r="C42" s="600">
        <f t="shared" si="0"/>
        <v>4.9913699999999999</v>
      </c>
      <c r="D42" s="602">
        <v>3327.58</v>
      </c>
      <c r="E42" s="600">
        <f t="shared" si="1"/>
        <v>4.5376090909090907</v>
      </c>
    </row>
    <row r="43" spans="1:5" ht="18.75">
      <c r="A43" s="596" t="s">
        <v>862</v>
      </c>
      <c r="B43" s="598" t="s">
        <v>827</v>
      </c>
      <c r="C43" s="600">
        <f t="shared" si="0"/>
        <v>5.5644150000000003</v>
      </c>
      <c r="D43" s="602">
        <v>3709.61</v>
      </c>
      <c r="E43" s="600">
        <f t="shared" si="1"/>
        <v>5.0585590909090907</v>
      </c>
    </row>
    <row r="44" spans="1:5" ht="18.75">
      <c r="A44" s="596" t="s">
        <v>863</v>
      </c>
      <c r="B44" s="598" t="s">
        <v>827</v>
      </c>
      <c r="C44" s="600">
        <f t="shared" si="0"/>
        <v>6.1841249999999999</v>
      </c>
      <c r="D44" s="602">
        <v>4122.75</v>
      </c>
      <c r="E44" s="600">
        <f t="shared" si="1"/>
        <v>5.6219318181818174</v>
      </c>
    </row>
    <row r="45" spans="1:5" ht="19.5" thickBot="1">
      <c r="A45" s="596" t="s">
        <v>864</v>
      </c>
      <c r="B45" s="614" t="s">
        <v>827</v>
      </c>
      <c r="C45" s="600">
        <f t="shared" si="0"/>
        <v>6.8215949999999994</v>
      </c>
      <c r="D45" s="602">
        <v>4547.7299999999996</v>
      </c>
      <c r="E45" s="600">
        <f t="shared" si="1"/>
        <v>6.2014499999999986</v>
      </c>
    </row>
    <row r="46" spans="1:5" ht="19.5" thickBot="1">
      <c r="A46" s="619" t="s">
        <v>865</v>
      </c>
      <c r="B46" s="621" t="s">
        <v>831</v>
      </c>
      <c r="C46" s="620">
        <f t="shared" si="0"/>
        <v>7.8202049999999996</v>
      </c>
      <c r="D46" s="602">
        <v>5213.47</v>
      </c>
      <c r="E46" s="600">
        <f t="shared" si="1"/>
        <v>7.1092772727272715</v>
      </c>
    </row>
    <row r="47" spans="1:5" ht="18.75">
      <c r="A47" s="596" t="s">
        <v>866</v>
      </c>
      <c r="B47" s="612" t="s">
        <v>831</v>
      </c>
      <c r="C47" s="600">
        <f t="shared" si="0"/>
        <v>12.98598</v>
      </c>
      <c r="D47" s="602">
        <v>8657.32</v>
      </c>
      <c r="E47" s="600">
        <f t="shared" si="1"/>
        <v>11.805436363636362</v>
      </c>
    </row>
    <row r="48" spans="1:5" ht="18.75">
      <c r="A48" s="596" t="s">
        <v>867</v>
      </c>
      <c r="B48" s="598" t="s">
        <v>831</v>
      </c>
      <c r="C48" s="600">
        <f t="shared" si="0"/>
        <v>14.157255000000001</v>
      </c>
      <c r="D48" s="602">
        <v>9438.17</v>
      </c>
      <c r="E48" s="600">
        <f t="shared" si="1"/>
        <v>12.870231818181818</v>
      </c>
    </row>
  </sheetData>
  <customSheetViews>
    <customSheetView guid="{FBB3E572-A647-4B8C-96C7-F43FE4F7CAA8}" showPageBreaks="1" hiddenColumns="1">
      <pane ySplit="4" topLeftCell="A29" activePane="bottomLeft" state="frozen"/>
      <selection pane="bottomLeft" activeCell="C8" sqref="C8"/>
      <pageMargins left="0.70866141732283472" right="0.70866141732283472" top="0.74803149606299213" bottom="0.74803149606299213" header="0.31496062992125984" footer="0.31496062992125984"/>
      <pageSetup paperSize="9" scale="70" orientation="portrait" horizontalDpi="0" verticalDpi="0" r:id="rId1"/>
    </customSheetView>
    <customSheetView guid="{900EF7B2-0D63-4DE2-9CFC-2D2B3788802C}" hiddenColumns="1">
      <pane ySplit="4" topLeftCell="A29" activePane="bottomLeft" state="frozen"/>
      <selection pane="bottomLeft" activeCell="C8" sqref="C8"/>
      <pageMargins left="0.70866141732283472" right="0.70866141732283472" top="0.74803149606299213" bottom="0.74803149606299213" header="0.31496062992125984" footer="0.31496062992125984"/>
      <pageSetup paperSize="9" scale="70" orientation="portrait" horizontalDpi="0" verticalDpi="0" r:id="rId2"/>
    </customSheetView>
    <customSheetView guid="{CC6D6007-EFDE-464F-BD7C-A67043AC5D5C}" hiddenColumns="1">
      <pane ySplit="4" topLeftCell="A38" activePane="bottomLeft" state="frozen"/>
      <selection pane="bottomLeft" activeCell="C8" sqref="C8"/>
      <pageMargins left="0.7" right="0.7" top="0.75" bottom="0.75" header="0.3" footer="0.3"/>
      <pageSetup paperSize="9" orientation="portrait" horizontalDpi="0" verticalDpi="0" r:id="rId3"/>
    </customSheetView>
    <customSheetView guid="{C0FE86CC-5BB4-4265-957F-F51B909B3E81}" hiddenColumns="1">
      <pane ySplit="4" topLeftCell="A23" activePane="bottomLeft" state="frozen"/>
      <selection pane="bottomLeft" activeCell="C8" sqref="C8"/>
      <pageMargins left="0.7" right="0.7" top="0.75" bottom="0.75" header="0.3" footer="0.3"/>
      <pageSetup paperSize="9" orientation="portrait" horizontalDpi="0" verticalDpi="0" r:id="rId4"/>
    </customSheetView>
  </customSheetViews>
  <pageMargins left="0.70866141732283472" right="0.70866141732283472" top="0.74803149606299213" bottom="0.74803149606299213" header="0.31496062992125984" footer="0.31496062992125984"/>
  <pageSetup paperSize="9" scale="70" orientation="portrait" horizontalDpi="0" verticalDpi="0" r:id="rId5"/>
</worksheet>
</file>

<file path=xl/worksheets/sheet14.xml><?xml version="1.0" encoding="utf-8"?>
<worksheet xmlns="http://schemas.openxmlformats.org/spreadsheetml/2006/main" xmlns:r="http://schemas.openxmlformats.org/officeDocument/2006/relationships">
  <sheetPr codeName="Лист4">
    <tabColor rgb="FF00B050"/>
    <pageSetUpPr fitToPage="1"/>
  </sheetPr>
  <dimension ref="B1:K110"/>
  <sheetViews>
    <sheetView view="pageBreakPreview" zoomScale="110" zoomScaleSheetLayoutView="110" workbookViewId="0">
      <pane ySplit="4" topLeftCell="A5" activePane="bottomLeft" state="frozen"/>
      <selection pane="bottomLeft" activeCell="B2" sqref="B2:H2"/>
    </sheetView>
  </sheetViews>
  <sheetFormatPr defaultRowHeight="15"/>
  <cols>
    <col min="1" max="1" width="0.42578125" style="1" customWidth="1"/>
    <col min="2" max="2" width="53.42578125" style="49" customWidth="1"/>
    <col min="3" max="3" width="8.7109375" style="41" bestFit="1" customWidth="1"/>
    <col min="4" max="4" width="11.42578125" style="235" customWidth="1"/>
    <col min="5" max="6" width="11.42578125" style="2" customWidth="1"/>
    <col min="7" max="7" width="11.42578125" style="81" customWidth="1"/>
    <col min="8" max="8" width="10.7109375" style="81" customWidth="1"/>
    <col min="9" max="9" width="3.140625" style="65" hidden="1" customWidth="1"/>
    <col min="10" max="10" width="13.28515625" style="46" hidden="1" customWidth="1"/>
    <col min="11" max="11" width="13.42578125" style="76" hidden="1" customWidth="1"/>
    <col min="12" max="12" width="0.140625" style="1" customWidth="1"/>
    <col min="13" max="16384" width="9.140625" style="1"/>
  </cols>
  <sheetData>
    <row r="1" spans="2:11" ht="2.25" customHeight="1">
      <c r="B1" s="82"/>
      <c r="C1" s="149"/>
      <c r="D1" s="239"/>
      <c r="E1" s="84"/>
      <c r="F1" s="84"/>
      <c r="G1" s="84"/>
      <c r="H1" s="84"/>
    </row>
    <row r="2" spans="2:11" ht="15.75" thickBot="1">
      <c r="B2" s="82" t="s">
        <v>870</v>
      </c>
      <c r="C2" s="149"/>
      <c r="D2" s="239"/>
      <c r="E2" s="84"/>
      <c r="F2" s="84"/>
      <c r="G2" s="84"/>
      <c r="H2" s="84"/>
    </row>
    <row r="3" spans="2:11" s="40" customFormat="1" ht="18" customHeight="1" thickBot="1">
      <c r="B3" s="1655" t="s">
        <v>270</v>
      </c>
      <c r="C3" s="1661" t="s">
        <v>186</v>
      </c>
      <c r="D3" s="1671" t="s">
        <v>198</v>
      </c>
      <c r="E3" s="1663"/>
      <c r="F3" s="1663"/>
      <c r="G3" s="1663"/>
      <c r="H3" s="1672"/>
      <c r="I3" s="70"/>
      <c r="J3" s="1664" t="s">
        <v>196</v>
      </c>
      <c r="K3" s="1665" t="s">
        <v>271</v>
      </c>
    </row>
    <row r="4" spans="2:11" s="40" customFormat="1" ht="35.25" thickBot="1">
      <c r="B4" s="1657"/>
      <c r="C4" s="1662"/>
      <c r="D4" s="156" t="s">
        <v>155</v>
      </c>
      <c r="E4" s="157" t="s">
        <v>154</v>
      </c>
      <c r="F4" s="158" t="s">
        <v>156</v>
      </c>
      <c r="G4" s="158" t="s">
        <v>195</v>
      </c>
      <c r="H4" s="159" t="s">
        <v>157</v>
      </c>
      <c r="I4" s="70"/>
      <c r="J4" s="1664"/>
      <c r="K4" s="1665"/>
    </row>
    <row r="5" spans="2:11" ht="20.25" customHeight="1" thickBot="1">
      <c r="B5" s="1669" t="s">
        <v>200</v>
      </c>
      <c r="C5" s="1670"/>
      <c r="D5" s="1670"/>
      <c r="E5" s="1670"/>
      <c r="F5" s="1670"/>
      <c r="G5" s="1670"/>
      <c r="H5" s="144"/>
      <c r="J5" s="1664"/>
      <c r="K5" s="1665"/>
    </row>
    <row r="6" spans="2:11" s="64" customFormat="1">
      <c r="B6" s="563" t="s">
        <v>202</v>
      </c>
      <c r="C6" s="568" t="s">
        <v>199</v>
      </c>
      <c r="D6" s="566">
        <f>J6*1.45</f>
        <v>993.17750000000001</v>
      </c>
      <c r="E6" s="556">
        <f>J6*1.2</f>
        <v>821.94</v>
      </c>
      <c r="F6" s="557">
        <f>J6*1.15</f>
        <v>787.6925</v>
      </c>
      <c r="G6" s="557">
        <f>J6*1.1</f>
        <v>753.44500000000016</v>
      </c>
      <c r="H6" s="558">
        <f>J6*1.05</f>
        <v>719.1975000000001</v>
      </c>
      <c r="I6" s="66"/>
      <c r="J6" s="69">
        <f>K6*1.03</f>
        <v>684.95</v>
      </c>
      <c r="K6" s="77">
        <v>665</v>
      </c>
    </row>
    <row r="7" spans="2:11" s="64" customFormat="1">
      <c r="B7" s="564" t="s">
        <v>815</v>
      </c>
      <c r="C7" s="554" t="s">
        <v>199</v>
      </c>
      <c r="D7" s="553">
        <f>J7*1.25</f>
        <v>2554.4</v>
      </c>
      <c r="E7" s="551">
        <f>J7*1.2</f>
        <v>2452.2239999999997</v>
      </c>
      <c r="F7" s="552">
        <f>J7*1.15</f>
        <v>2350.0479999999998</v>
      </c>
      <c r="G7" s="552">
        <f>J7*1.1</f>
        <v>2247.8720000000003</v>
      </c>
      <c r="H7" s="559">
        <f>J7*1.05</f>
        <v>2145.6959999999999</v>
      </c>
      <c r="I7" s="66"/>
      <c r="J7" s="69">
        <f>K7*1.03</f>
        <v>2043.52</v>
      </c>
      <c r="K7" s="77">
        <v>1984</v>
      </c>
    </row>
    <row r="8" spans="2:11" s="64" customFormat="1">
      <c r="B8" s="564" t="s">
        <v>203</v>
      </c>
      <c r="C8" s="554" t="s">
        <v>199</v>
      </c>
      <c r="D8" s="553">
        <f t="shared" ref="D8:D10" si="0">J8*1.25</f>
        <v>677.22499999999991</v>
      </c>
      <c r="E8" s="551">
        <f t="shared" ref="E8:E10" si="1">J8*1.2</f>
        <v>650.13599999999997</v>
      </c>
      <c r="F8" s="552">
        <f>J8*1.15</f>
        <v>623.04699999999991</v>
      </c>
      <c r="G8" s="552">
        <f t="shared" ref="G8:G10" si="2">J8*1.1</f>
        <v>595.95799999999997</v>
      </c>
      <c r="H8" s="559">
        <f t="shared" ref="H8:H10" si="3">J8*1.05</f>
        <v>568.86900000000003</v>
      </c>
      <c r="I8" s="66"/>
      <c r="J8" s="69">
        <f t="shared" ref="J8:J10" si="4">K8*1.03</f>
        <v>541.78</v>
      </c>
      <c r="K8" s="77">
        <v>526</v>
      </c>
    </row>
    <row r="9" spans="2:11" s="64" customFormat="1">
      <c r="B9" s="564" t="s">
        <v>204</v>
      </c>
      <c r="C9" s="554" t="s">
        <v>199</v>
      </c>
      <c r="D9" s="553">
        <f t="shared" si="0"/>
        <v>927</v>
      </c>
      <c r="E9" s="551">
        <f t="shared" si="1"/>
        <v>889.92</v>
      </c>
      <c r="F9" s="552">
        <f t="shared" ref="F9:F10" si="5">J9*1.15</f>
        <v>852.83999999999992</v>
      </c>
      <c r="G9" s="552">
        <f t="shared" si="2"/>
        <v>815.7600000000001</v>
      </c>
      <c r="H9" s="559">
        <f t="shared" si="3"/>
        <v>778.68000000000006</v>
      </c>
      <c r="I9" s="66"/>
      <c r="J9" s="69">
        <f t="shared" si="4"/>
        <v>741.6</v>
      </c>
      <c r="K9" s="77">
        <v>720</v>
      </c>
    </row>
    <row r="10" spans="2:11" s="64" customFormat="1" ht="15.75" thickBot="1">
      <c r="B10" s="565" t="s">
        <v>205</v>
      </c>
      <c r="C10" s="569" t="s">
        <v>199</v>
      </c>
      <c r="D10" s="567">
        <f t="shared" si="0"/>
        <v>1376.3374999999999</v>
      </c>
      <c r="E10" s="560">
        <f t="shared" si="1"/>
        <v>1321.2839999999999</v>
      </c>
      <c r="F10" s="561">
        <f t="shared" si="5"/>
        <v>1266.2304999999999</v>
      </c>
      <c r="G10" s="561">
        <f t="shared" si="2"/>
        <v>1211.1770000000001</v>
      </c>
      <c r="H10" s="562">
        <f t="shared" si="3"/>
        <v>1156.1234999999999</v>
      </c>
      <c r="I10" s="66"/>
      <c r="J10" s="69">
        <f t="shared" si="4"/>
        <v>1101.07</v>
      </c>
      <c r="K10" s="77">
        <v>1069</v>
      </c>
    </row>
    <row r="11" spans="2:11" s="64" customFormat="1" ht="15.75" thickBot="1">
      <c r="B11" s="250" t="s">
        <v>260</v>
      </c>
      <c r="C11" s="555"/>
      <c r="D11" s="155"/>
      <c r="E11" s="155"/>
      <c r="F11" s="155"/>
      <c r="G11" s="155"/>
      <c r="H11" s="163"/>
      <c r="I11" s="66"/>
      <c r="J11" s="69"/>
      <c r="K11" s="77"/>
    </row>
    <row r="12" spans="2:11" s="64" customFormat="1" ht="15.75" thickBot="1">
      <c r="B12" s="118" t="s">
        <v>206</v>
      </c>
      <c r="C12" s="146" t="s">
        <v>199</v>
      </c>
      <c r="D12" s="236">
        <f>J12*1.25</f>
        <v>1158.75</v>
      </c>
      <c r="E12" s="175">
        <f>J12*1.2</f>
        <v>1112.3999999999999</v>
      </c>
      <c r="F12" s="160">
        <f>J12*1.15</f>
        <v>1066.05</v>
      </c>
      <c r="G12" s="176">
        <f>J12*1.1</f>
        <v>1019.7</v>
      </c>
      <c r="H12" s="167">
        <f>K12*1.05</f>
        <v>778.68000000000006</v>
      </c>
      <c r="I12" s="66"/>
      <c r="J12" s="69">
        <f>K12*1.25</f>
        <v>927</v>
      </c>
      <c r="K12" s="77">
        <v>741.6</v>
      </c>
    </row>
    <row r="13" spans="2:11" s="64" customFormat="1" ht="15.75" thickBot="1">
      <c r="B13" s="116" t="s">
        <v>207</v>
      </c>
      <c r="C13" s="146" t="s">
        <v>199</v>
      </c>
      <c r="D13" s="236">
        <f t="shared" ref="D13:D16" si="6">J13*1.25</f>
        <v>1398.4375</v>
      </c>
      <c r="E13" s="170">
        <f>J13*1.2</f>
        <v>1342.5</v>
      </c>
      <c r="F13" s="161">
        <f t="shared" ref="F13:F16" si="7">J13*1.15</f>
        <v>1286.5625</v>
      </c>
      <c r="G13" s="171">
        <f t="shared" ref="G13:G16" si="8">J13*1.1</f>
        <v>1230.625</v>
      </c>
      <c r="H13" s="168">
        <f t="shared" ref="H13:H15" si="9">K13*1.05</f>
        <v>939.75</v>
      </c>
      <c r="I13" s="66"/>
      <c r="J13" s="69">
        <f t="shared" ref="J13:J16" si="10">K13*1.25</f>
        <v>1118.75</v>
      </c>
      <c r="K13" s="77">
        <v>895</v>
      </c>
    </row>
    <row r="14" spans="2:11" s="64" customFormat="1" ht="15.75" thickBot="1">
      <c r="B14" s="116" t="s">
        <v>208</v>
      </c>
      <c r="C14" s="146" t="s">
        <v>199</v>
      </c>
      <c r="D14" s="236">
        <f t="shared" si="6"/>
        <v>1917.5</v>
      </c>
      <c r="E14" s="170">
        <f>J14*1.2</f>
        <v>1840.8</v>
      </c>
      <c r="F14" s="161">
        <f t="shared" si="7"/>
        <v>1764.1</v>
      </c>
      <c r="G14" s="171">
        <f t="shared" si="8"/>
        <v>1687.4</v>
      </c>
      <c r="H14" s="168">
        <f t="shared" si="9"/>
        <v>1288.5600000000002</v>
      </c>
      <c r="I14" s="66"/>
      <c r="J14" s="69">
        <f t="shared" si="10"/>
        <v>1534</v>
      </c>
      <c r="K14" s="77">
        <v>1227.2</v>
      </c>
    </row>
    <row r="15" spans="2:11" s="64" customFormat="1" ht="15.75" thickBot="1">
      <c r="B15" s="116" t="s">
        <v>209</v>
      </c>
      <c r="C15" s="146" t="s">
        <v>199</v>
      </c>
      <c r="D15" s="236">
        <f t="shared" si="6"/>
        <v>2542.8125</v>
      </c>
      <c r="E15" s="170">
        <f>J15*1.2</f>
        <v>2441.1</v>
      </c>
      <c r="F15" s="161">
        <f t="shared" si="7"/>
        <v>2339.3874999999998</v>
      </c>
      <c r="G15" s="171">
        <f t="shared" si="8"/>
        <v>2237.6750000000002</v>
      </c>
      <c r="H15" s="168">
        <f t="shared" si="9"/>
        <v>1708.7700000000002</v>
      </c>
      <c r="I15" s="66"/>
      <c r="J15" s="69">
        <f t="shared" si="10"/>
        <v>2034.25</v>
      </c>
      <c r="K15" s="77">
        <v>1627.4</v>
      </c>
    </row>
    <row r="16" spans="2:11" s="64" customFormat="1" ht="15.75" thickBot="1">
      <c r="B16" s="120" t="s">
        <v>210</v>
      </c>
      <c r="C16" s="147" t="s">
        <v>199</v>
      </c>
      <c r="D16" s="236">
        <f t="shared" si="6"/>
        <v>3051.3750000000005</v>
      </c>
      <c r="E16" s="177">
        <f>J16*1.2</f>
        <v>2929.32</v>
      </c>
      <c r="F16" s="162">
        <f t="shared" si="7"/>
        <v>2807.2650000000003</v>
      </c>
      <c r="G16" s="178">
        <f t="shared" si="8"/>
        <v>2685.2100000000005</v>
      </c>
      <c r="H16" s="169">
        <f>K16*1.05</f>
        <v>2050.5240000000003</v>
      </c>
      <c r="I16" s="66"/>
      <c r="J16" s="69">
        <f t="shared" si="10"/>
        <v>2441.1000000000004</v>
      </c>
      <c r="K16" s="77">
        <v>1952.88</v>
      </c>
    </row>
    <row r="17" spans="2:11" s="64" customFormat="1" ht="15.75" hidden="1" customHeight="1" thickBot="1">
      <c r="B17" s="153" t="s">
        <v>261</v>
      </c>
      <c r="C17" s="151"/>
      <c r="D17" s="155"/>
      <c r="E17" s="155"/>
      <c r="F17" s="155"/>
      <c r="G17" s="155"/>
      <c r="H17" s="163"/>
      <c r="I17" s="66"/>
      <c r="K17" s="77"/>
    </row>
    <row r="18" spans="2:11" s="64" customFormat="1" hidden="1">
      <c r="B18" s="116"/>
      <c r="C18" s="146" t="s">
        <v>199</v>
      </c>
      <c r="D18" s="236">
        <f t="shared" ref="D18" si="11">J18*1.25</f>
        <v>0</v>
      </c>
      <c r="E18" s="175">
        <f t="shared" ref="E18" si="12">J18*1.2</f>
        <v>0</v>
      </c>
      <c r="F18" s="160">
        <f>J18*1.15</f>
        <v>0</v>
      </c>
      <c r="G18" s="176">
        <f>J18*1.1</f>
        <v>0</v>
      </c>
      <c r="H18" s="167">
        <f>J18*1.05</f>
        <v>0</v>
      </c>
      <c r="I18" s="66"/>
      <c r="J18" s="69"/>
      <c r="K18" s="77">
        <v>0</v>
      </c>
    </row>
    <row r="19" spans="2:11" s="64" customFormat="1" hidden="1">
      <c r="B19" s="116"/>
      <c r="C19" s="146" t="s">
        <v>199</v>
      </c>
      <c r="D19" s="237">
        <f t="shared" ref="D19:D24" si="13">J19*1.25</f>
        <v>0</v>
      </c>
      <c r="E19" s="170">
        <f t="shared" ref="E19:E24" si="14">J19*1.2</f>
        <v>0</v>
      </c>
      <c r="F19" s="161">
        <f t="shared" ref="F19:F24" si="15">J19*1.15</f>
        <v>0</v>
      </c>
      <c r="G19" s="171">
        <f t="shared" ref="G19:G24" si="16">J19*1.1</f>
        <v>0</v>
      </c>
      <c r="H19" s="168">
        <f t="shared" ref="H19:H24" si="17">J19*1.05</f>
        <v>0</v>
      </c>
      <c r="I19" s="66"/>
      <c r="J19" s="69"/>
      <c r="K19" s="77">
        <v>0</v>
      </c>
    </row>
    <row r="20" spans="2:11" s="64" customFormat="1" hidden="1">
      <c r="B20" s="116"/>
      <c r="C20" s="146" t="s">
        <v>199</v>
      </c>
      <c r="D20" s="237">
        <f t="shared" si="13"/>
        <v>0</v>
      </c>
      <c r="E20" s="170">
        <f t="shared" si="14"/>
        <v>0</v>
      </c>
      <c r="F20" s="161">
        <f t="shared" si="15"/>
        <v>0</v>
      </c>
      <c r="G20" s="171">
        <f t="shared" si="16"/>
        <v>0</v>
      </c>
      <c r="H20" s="168">
        <f t="shared" si="17"/>
        <v>0</v>
      </c>
      <c r="I20" s="66"/>
      <c r="J20" s="69"/>
      <c r="K20" s="77">
        <v>0</v>
      </c>
    </row>
    <row r="21" spans="2:11" s="64" customFormat="1" hidden="1">
      <c r="B21" s="116"/>
      <c r="C21" s="146" t="s">
        <v>199</v>
      </c>
      <c r="D21" s="237">
        <f t="shared" si="13"/>
        <v>0</v>
      </c>
      <c r="E21" s="170">
        <f t="shared" si="14"/>
        <v>0</v>
      </c>
      <c r="F21" s="161">
        <f t="shared" si="15"/>
        <v>0</v>
      </c>
      <c r="G21" s="171">
        <f t="shared" si="16"/>
        <v>0</v>
      </c>
      <c r="H21" s="168">
        <f t="shared" si="17"/>
        <v>0</v>
      </c>
      <c r="I21" s="66"/>
      <c r="J21" s="69"/>
      <c r="K21" s="77">
        <v>0</v>
      </c>
    </row>
    <row r="22" spans="2:11" s="64" customFormat="1" hidden="1">
      <c r="B22" s="116"/>
      <c r="C22" s="146" t="s">
        <v>199</v>
      </c>
      <c r="D22" s="237">
        <f t="shared" si="13"/>
        <v>0</v>
      </c>
      <c r="E22" s="170">
        <f t="shared" si="14"/>
        <v>0</v>
      </c>
      <c r="F22" s="161">
        <f t="shared" si="15"/>
        <v>0</v>
      </c>
      <c r="G22" s="171">
        <f t="shared" si="16"/>
        <v>0</v>
      </c>
      <c r="H22" s="168">
        <f t="shared" si="17"/>
        <v>0</v>
      </c>
      <c r="I22" s="66"/>
      <c r="J22" s="69"/>
      <c r="K22" s="77">
        <v>0</v>
      </c>
    </row>
    <row r="23" spans="2:11" s="64" customFormat="1" hidden="1">
      <c r="B23" s="116"/>
      <c r="C23" s="146" t="s">
        <v>199</v>
      </c>
      <c r="D23" s="237">
        <f t="shared" si="13"/>
        <v>0</v>
      </c>
      <c r="E23" s="170">
        <f t="shared" si="14"/>
        <v>0</v>
      </c>
      <c r="F23" s="161">
        <f t="shared" si="15"/>
        <v>0</v>
      </c>
      <c r="G23" s="171">
        <f t="shared" si="16"/>
        <v>0</v>
      </c>
      <c r="H23" s="168">
        <f>J23*1.05</f>
        <v>0</v>
      </c>
      <c r="I23" s="66"/>
      <c r="J23" s="69"/>
      <c r="K23" s="77">
        <v>0</v>
      </c>
    </row>
    <row r="24" spans="2:11" s="64" customFormat="1" ht="15.75" hidden="1" thickBot="1">
      <c r="B24" s="116"/>
      <c r="C24" s="146" t="s">
        <v>199</v>
      </c>
      <c r="D24" s="238">
        <f t="shared" si="13"/>
        <v>0</v>
      </c>
      <c r="E24" s="177">
        <f t="shared" si="14"/>
        <v>0</v>
      </c>
      <c r="F24" s="162">
        <f t="shared" si="15"/>
        <v>0</v>
      </c>
      <c r="G24" s="178">
        <f t="shared" si="16"/>
        <v>0</v>
      </c>
      <c r="H24" s="169">
        <f t="shared" si="17"/>
        <v>0</v>
      </c>
      <c r="I24" s="66"/>
      <c r="J24" s="69"/>
      <c r="K24" s="77">
        <v>0</v>
      </c>
    </row>
    <row r="25" spans="2:11" s="64" customFormat="1" ht="15.75" customHeight="1" thickBot="1">
      <c r="B25" s="153" t="s">
        <v>262</v>
      </c>
      <c r="C25" s="151"/>
      <c r="D25" s="151"/>
      <c r="E25" s="151"/>
      <c r="F25" s="151"/>
      <c r="G25" s="151"/>
      <c r="H25" s="152"/>
      <c r="I25" s="66"/>
      <c r="J25" s="69" t="s">
        <v>272</v>
      </c>
      <c r="K25" s="77"/>
    </row>
    <row r="26" spans="2:11" s="64" customFormat="1">
      <c r="B26" s="116" t="s">
        <v>273</v>
      </c>
      <c r="C26" s="146" t="s">
        <v>1</v>
      </c>
      <c r="D26" s="236">
        <f t="shared" ref="D26:D32" si="18">J26*1.25</f>
        <v>8.4043749999999999</v>
      </c>
      <c r="E26" s="175">
        <f t="shared" ref="E26:E32" si="19">J26*1.2</f>
        <v>8.0681999999999992</v>
      </c>
      <c r="F26" s="160">
        <f>J26*1.15</f>
        <v>7.7320249999999993</v>
      </c>
      <c r="G26" s="176">
        <f>J26*1.1</f>
        <v>7.3958500000000003</v>
      </c>
      <c r="H26" s="167">
        <f>J26*1.05</f>
        <v>7.0596749999999995</v>
      </c>
      <c r="I26" s="66"/>
      <c r="J26" s="69">
        <f>K26+1.1</f>
        <v>6.7234999999999996</v>
      </c>
      <c r="K26" s="77">
        <f>4.89*1.15</f>
        <v>5.6234999999999991</v>
      </c>
    </row>
    <row r="27" spans="2:11" s="64" customFormat="1">
      <c r="B27" s="116" t="s">
        <v>274</v>
      </c>
      <c r="C27" s="146" t="s">
        <v>1</v>
      </c>
      <c r="D27" s="237">
        <f t="shared" si="18"/>
        <v>10.062499999999998</v>
      </c>
      <c r="E27" s="170">
        <f t="shared" si="19"/>
        <v>9.6599999999999984</v>
      </c>
      <c r="F27" s="161">
        <f t="shared" ref="F27:F32" si="20">J27*1.15</f>
        <v>9.2574999999999985</v>
      </c>
      <c r="G27" s="171">
        <f t="shared" ref="G27:G32" si="21">J27*1.1</f>
        <v>8.8550000000000004</v>
      </c>
      <c r="H27" s="168">
        <f t="shared" ref="H27:H32" si="22">J27*1.05</f>
        <v>8.4524999999999988</v>
      </c>
      <c r="I27" s="66"/>
      <c r="J27" s="69">
        <f>K27+1.15</f>
        <v>8.0499999999999989</v>
      </c>
      <c r="K27" s="77">
        <f>6*1.15</f>
        <v>6.8999999999999995</v>
      </c>
    </row>
    <row r="28" spans="2:11" s="64" customFormat="1">
      <c r="B28" s="116" t="s">
        <v>275</v>
      </c>
      <c r="C28" s="146" t="s">
        <v>1</v>
      </c>
      <c r="D28" s="237">
        <f t="shared" si="18"/>
        <v>14.502500000000001</v>
      </c>
      <c r="E28" s="170">
        <f t="shared" si="19"/>
        <v>13.9224</v>
      </c>
      <c r="F28" s="161">
        <f t="shared" si="20"/>
        <v>13.3423</v>
      </c>
      <c r="G28" s="171">
        <f t="shared" si="21"/>
        <v>12.762200000000002</v>
      </c>
      <c r="H28" s="168">
        <f>J28*1.05</f>
        <v>12.1821</v>
      </c>
      <c r="I28" s="66"/>
      <c r="J28" s="69">
        <f>K28+1.39</f>
        <v>11.602</v>
      </c>
      <c r="K28" s="77">
        <f>8.88*1.15</f>
        <v>10.212</v>
      </c>
    </row>
    <row r="29" spans="2:11" s="64" customFormat="1">
      <c r="B29" s="116" t="s">
        <v>276</v>
      </c>
      <c r="C29" s="146" t="s">
        <v>1</v>
      </c>
      <c r="D29" s="237">
        <f t="shared" si="18"/>
        <v>17.5625</v>
      </c>
      <c r="E29" s="170">
        <f t="shared" si="19"/>
        <v>16.86</v>
      </c>
      <c r="F29" s="161">
        <f t="shared" si="20"/>
        <v>16.157499999999999</v>
      </c>
      <c r="G29" s="171">
        <f t="shared" si="21"/>
        <v>15.455</v>
      </c>
      <c r="H29" s="168">
        <f t="shared" si="22"/>
        <v>14.7525</v>
      </c>
      <c r="I29" s="66"/>
      <c r="J29" s="69">
        <f>K29+1.4</f>
        <v>14.049999999999999</v>
      </c>
      <c r="K29" s="77">
        <f>11*1.15</f>
        <v>12.649999999999999</v>
      </c>
    </row>
    <row r="30" spans="2:11" s="64" customFormat="1">
      <c r="B30" s="116" t="s">
        <v>277</v>
      </c>
      <c r="C30" s="146" t="s">
        <v>1</v>
      </c>
      <c r="D30" s="237">
        <f t="shared" si="18"/>
        <v>21.175625</v>
      </c>
      <c r="E30" s="170">
        <f t="shared" si="19"/>
        <v>20.328599999999998</v>
      </c>
      <c r="F30" s="161">
        <f t="shared" si="20"/>
        <v>19.481574999999999</v>
      </c>
      <c r="G30" s="171">
        <f t="shared" si="21"/>
        <v>18.634550000000001</v>
      </c>
      <c r="H30" s="168">
        <f t="shared" si="22"/>
        <v>17.787525000000002</v>
      </c>
      <c r="I30" s="66"/>
      <c r="J30" s="69">
        <f>K30+1.45</f>
        <v>16.9405</v>
      </c>
      <c r="K30" s="77">
        <f>13.47*1.15</f>
        <v>15.490499999999999</v>
      </c>
    </row>
    <row r="31" spans="2:11" s="64" customFormat="1">
      <c r="B31" s="116" t="s">
        <v>278</v>
      </c>
      <c r="C31" s="146" t="s">
        <v>1</v>
      </c>
      <c r="D31" s="237">
        <f t="shared" si="18"/>
        <v>36.447500000000005</v>
      </c>
      <c r="E31" s="170">
        <f t="shared" si="19"/>
        <v>34.989600000000003</v>
      </c>
      <c r="F31" s="161">
        <f t="shared" si="20"/>
        <v>33.531700000000001</v>
      </c>
      <c r="G31" s="171">
        <f t="shared" si="21"/>
        <v>32.073800000000006</v>
      </c>
      <c r="H31" s="168">
        <f t="shared" si="22"/>
        <v>30.615900000000003</v>
      </c>
      <c r="I31" s="66"/>
      <c r="J31" s="69">
        <f>K31+5.1</f>
        <v>29.158000000000001</v>
      </c>
      <c r="K31" s="77">
        <f>20.92*1.15</f>
        <v>24.058</v>
      </c>
    </row>
    <row r="32" spans="2:11" s="64" customFormat="1" ht="15.75" thickBot="1">
      <c r="B32" s="116" t="s">
        <v>279</v>
      </c>
      <c r="C32" s="146" t="s">
        <v>1</v>
      </c>
      <c r="D32" s="238">
        <f t="shared" si="18"/>
        <v>48.611250000000005</v>
      </c>
      <c r="E32" s="177">
        <f t="shared" si="19"/>
        <v>46.666800000000002</v>
      </c>
      <c r="F32" s="162">
        <f t="shared" si="20"/>
        <v>44.722349999999999</v>
      </c>
      <c r="G32" s="178">
        <f t="shared" si="21"/>
        <v>42.77790000000001</v>
      </c>
      <c r="H32" s="169">
        <f t="shared" si="22"/>
        <v>40.833450000000006</v>
      </c>
      <c r="I32" s="66"/>
      <c r="J32" s="69">
        <f>K32+5.7</f>
        <v>38.889000000000003</v>
      </c>
      <c r="K32" s="77">
        <f>28.86*1.15</f>
        <v>33.189</v>
      </c>
    </row>
    <row r="33" spans="2:11" s="64" customFormat="1" ht="30.75" customHeight="1" thickBot="1">
      <c r="B33" s="1673" t="s">
        <v>263</v>
      </c>
      <c r="C33" s="1674"/>
      <c r="D33" s="1674"/>
      <c r="E33" s="1674"/>
      <c r="F33" s="1674"/>
      <c r="G33" s="1674"/>
      <c r="H33" s="1675"/>
      <c r="I33" s="66"/>
      <c r="J33" s="69"/>
      <c r="K33" s="77"/>
    </row>
    <row r="34" spans="2:11" s="64" customFormat="1">
      <c r="B34" s="116" t="s">
        <v>280</v>
      </c>
      <c r="C34" s="146" t="s">
        <v>21</v>
      </c>
      <c r="D34" s="236">
        <f t="shared" ref="D34:D40" si="23">J34*1.25</f>
        <v>19.873749999999998</v>
      </c>
      <c r="E34" s="175">
        <f t="shared" ref="E34:E40" si="24">J34*1.2</f>
        <v>19.078799999999998</v>
      </c>
      <c r="F34" s="160">
        <f>J34*1.15</f>
        <v>18.283849999999994</v>
      </c>
      <c r="G34" s="176">
        <f>J34*1.1</f>
        <v>17.488899999999997</v>
      </c>
      <c r="H34" s="167">
        <f>J34*1.05</f>
        <v>16.693949999999997</v>
      </c>
      <c r="I34" s="66"/>
      <c r="J34" s="69">
        <f>K34+1.11</f>
        <v>15.898999999999997</v>
      </c>
      <c r="K34" s="77">
        <f>12.86*1.15</f>
        <v>14.788999999999998</v>
      </c>
    </row>
    <row r="35" spans="2:11" s="64" customFormat="1">
      <c r="B35" s="116" t="s">
        <v>281</v>
      </c>
      <c r="C35" s="146" t="s">
        <v>21</v>
      </c>
      <c r="D35" s="237">
        <f t="shared" si="23"/>
        <v>23.399374999999999</v>
      </c>
      <c r="E35" s="170">
        <f t="shared" si="24"/>
        <v>22.4634</v>
      </c>
      <c r="F35" s="161">
        <f t="shared" ref="F35:F40" si="25">J35*1.15</f>
        <v>21.527424999999997</v>
      </c>
      <c r="G35" s="171">
        <f t="shared" ref="G35:G40" si="26">J35*1.1</f>
        <v>20.591450000000002</v>
      </c>
      <c r="H35" s="168">
        <f t="shared" ref="H35:H40" si="27">J35*1.05</f>
        <v>19.655474999999999</v>
      </c>
      <c r="I35" s="66"/>
      <c r="J35" s="69">
        <f>K35+1.55</f>
        <v>18.7195</v>
      </c>
      <c r="K35" s="77">
        <f>14.93*1.15</f>
        <v>17.169499999999999</v>
      </c>
    </row>
    <row r="36" spans="2:11" s="64" customFormat="1">
      <c r="B36" s="116" t="s">
        <v>282</v>
      </c>
      <c r="C36" s="146" t="s">
        <v>21</v>
      </c>
      <c r="D36" s="237">
        <f t="shared" ref="D36" si="28">J36*1.25</f>
        <v>28.224999999999998</v>
      </c>
      <c r="E36" s="170">
        <f t="shared" ref="E36" si="29">J36*1.2</f>
        <v>27.095999999999997</v>
      </c>
      <c r="F36" s="161">
        <f t="shared" si="25"/>
        <v>25.966999999999995</v>
      </c>
      <c r="G36" s="171">
        <f t="shared" si="26"/>
        <v>24.838000000000001</v>
      </c>
      <c r="H36" s="168">
        <f t="shared" si="27"/>
        <v>23.709</v>
      </c>
      <c r="I36" s="66"/>
      <c r="J36" s="69">
        <f>K36+1.88</f>
        <v>22.58</v>
      </c>
      <c r="K36" s="77">
        <f>18*1.15</f>
        <v>20.7</v>
      </c>
    </row>
    <row r="37" spans="2:11" s="64" customFormat="1">
      <c r="B37" s="116" t="s">
        <v>283</v>
      </c>
      <c r="C37" s="146" t="s">
        <v>21</v>
      </c>
      <c r="D37" s="237">
        <f t="shared" si="23"/>
        <v>32.389375000000001</v>
      </c>
      <c r="E37" s="170">
        <f t="shared" si="24"/>
        <v>31.093799999999998</v>
      </c>
      <c r="F37" s="161">
        <f t="shared" si="25"/>
        <v>29.798224999999999</v>
      </c>
      <c r="G37" s="171">
        <f t="shared" si="26"/>
        <v>28.502650000000003</v>
      </c>
      <c r="H37" s="168">
        <f t="shared" si="27"/>
        <v>27.207075</v>
      </c>
      <c r="I37" s="66"/>
      <c r="J37" s="69">
        <f>K37+2.44</f>
        <v>25.9115</v>
      </c>
      <c r="K37" s="77">
        <f>20.41*1.15</f>
        <v>23.471499999999999</v>
      </c>
    </row>
    <row r="38" spans="2:11" s="64" customFormat="1">
      <c r="B38" s="116" t="s">
        <v>284</v>
      </c>
      <c r="C38" s="146" t="s">
        <v>21</v>
      </c>
      <c r="D38" s="237">
        <f t="shared" si="23"/>
        <v>48.833124999999995</v>
      </c>
      <c r="E38" s="170">
        <f t="shared" si="24"/>
        <v>46.879799999999996</v>
      </c>
      <c r="F38" s="161">
        <f t="shared" si="25"/>
        <v>44.926474999999996</v>
      </c>
      <c r="G38" s="171">
        <f t="shared" si="26"/>
        <v>42.973150000000004</v>
      </c>
      <c r="H38" s="168">
        <f t="shared" si="27"/>
        <v>41.019824999999997</v>
      </c>
      <c r="I38" s="66"/>
      <c r="J38" s="69">
        <f>K38+4.44</f>
        <v>39.066499999999998</v>
      </c>
      <c r="K38" s="77">
        <f>30.11*1.15</f>
        <v>34.6265</v>
      </c>
    </row>
    <row r="39" spans="2:11" s="64" customFormat="1">
      <c r="B39" s="116" t="s">
        <v>285</v>
      </c>
      <c r="C39" s="146" t="s">
        <v>21</v>
      </c>
      <c r="D39" s="237">
        <f t="shared" si="23"/>
        <v>57.427499999999995</v>
      </c>
      <c r="E39" s="170">
        <f t="shared" si="24"/>
        <v>55.130399999999987</v>
      </c>
      <c r="F39" s="161">
        <f t="shared" si="25"/>
        <v>52.833299999999987</v>
      </c>
      <c r="G39" s="171">
        <f t="shared" si="26"/>
        <v>50.536199999999994</v>
      </c>
      <c r="H39" s="168">
        <f>J39*1.05</f>
        <v>48.239099999999993</v>
      </c>
      <c r="I39" s="66"/>
      <c r="J39" s="69">
        <f>K39+5.37</f>
        <v>45.941999999999993</v>
      </c>
      <c r="K39" s="77">
        <f>35.28*1.15</f>
        <v>40.571999999999996</v>
      </c>
    </row>
    <row r="40" spans="2:11" s="64" customFormat="1" ht="30.75" thickBot="1">
      <c r="B40" s="116" t="s">
        <v>286</v>
      </c>
      <c r="C40" s="146" t="s">
        <v>21</v>
      </c>
      <c r="D40" s="238">
        <f t="shared" si="23"/>
        <v>39.724999999999994</v>
      </c>
      <c r="E40" s="177">
        <f t="shared" si="24"/>
        <v>38.135999999999996</v>
      </c>
      <c r="F40" s="162">
        <f t="shared" si="25"/>
        <v>36.546999999999997</v>
      </c>
      <c r="G40" s="178">
        <f t="shared" si="26"/>
        <v>34.957999999999998</v>
      </c>
      <c r="H40" s="169">
        <f t="shared" si="27"/>
        <v>33.369</v>
      </c>
      <c r="I40" s="66"/>
      <c r="J40" s="69">
        <f>K40+1.88</f>
        <v>31.779999999999998</v>
      </c>
      <c r="K40" s="77">
        <f>26*1.15</f>
        <v>29.9</v>
      </c>
    </row>
    <row r="41" spans="2:11" s="64" customFormat="1" ht="15.75" thickBot="1">
      <c r="B41" s="1673" t="s">
        <v>265</v>
      </c>
      <c r="C41" s="1674"/>
      <c r="D41" s="1674"/>
      <c r="E41" s="1674"/>
      <c r="F41" s="1674"/>
      <c r="G41" s="1674"/>
      <c r="H41" s="1675"/>
      <c r="I41" s="66"/>
      <c r="J41" s="69"/>
      <c r="K41" s="77"/>
    </row>
    <row r="42" spans="2:11" s="64" customFormat="1">
      <c r="B42" s="116" t="s">
        <v>287</v>
      </c>
      <c r="C42" s="146" t="s">
        <v>21</v>
      </c>
      <c r="D42" s="236">
        <f t="shared" ref="D42:D46" si="30">J42*1.25</f>
        <v>95.274374999999992</v>
      </c>
      <c r="E42" s="175">
        <f t="shared" ref="E42:E46" si="31">J42*1.2</f>
        <v>91.463399999999993</v>
      </c>
      <c r="F42" s="160">
        <f>J42*1.15</f>
        <v>87.652424999999994</v>
      </c>
      <c r="G42" s="176">
        <f>J42*1.1</f>
        <v>83.841450000000009</v>
      </c>
      <c r="H42" s="167">
        <f>J42*1.05</f>
        <v>80.030474999999996</v>
      </c>
      <c r="I42" s="66"/>
      <c r="J42" s="69">
        <f>K42+1.55</f>
        <v>76.219499999999996</v>
      </c>
      <c r="K42" s="77">
        <f>64.93*1.15</f>
        <v>74.669499999999999</v>
      </c>
    </row>
    <row r="43" spans="2:11" s="64" customFormat="1">
      <c r="B43" s="116" t="s">
        <v>288</v>
      </c>
      <c r="C43" s="146" t="s">
        <v>21</v>
      </c>
      <c r="D43" s="237">
        <f t="shared" si="30"/>
        <v>100.09999999999998</v>
      </c>
      <c r="E43" s="170">
        <f t="shared" si="31"/>
        <v>96.095999999999975</v>
      </c>
      <c r="F43" s="161">
        <f t="shared" ref="F43:F46" si="32">J43*1.15</f>
        <v>92.09199999999997</v>
      </c>
      <c r="G43" s="171">
        <f t="shared" ref="G43:G46" si="33">J43*1.1</f>
        <v>88.087999999999994</v>
      </c>
      <c r="H43" s="168">
        <f t="shared" ref="H43:H46" si="34">J43*1.05</f>
        <v>84.083999999999989</v>
      </c>
      <c r="I43" s="66"/>
      <c r="J43" s="69">
        <f>K43+1.88</f>
        <v>80.079999999999984</v>
      </c>
      <c r="K43" s="77">
        <f>68*1.15</f>
        <v>78.199999999999989</v>
      </c>
    </row>
    <row r="44" spans="2:11" s="64" customFormat="1">
      <c r="B44" s="116" t="s">
        <v>289</v>
      </c>
      <c r="C44" s="146" t="s">
        <v>21</v>
      </c>
      <c r="D44" s="237">
        <f t="shared" si="30"/>
        <v>103.56437499999998</v>
      </c>
      <c r="E44" s="170">
        <f t="shared" si="31"/>
        <v>99.421799999999976</v>
      </c>
      <c r="F44" s="161">
        <f t="shared" si="32"/>
        <v>95.279224999999983</v>
      </c>
      <c r="G44" s="171">
        <f t="shared" si="33"/>
        <v>91.136649999999989</v>
      </c>
      <c r="H44" s="168">
        <f t="shared" si="34"/>
        <v>86.994074999999995</v>
      </c>
      <c r="I44" s="66"/>
      <c r="J44" s="69">
        <f>K44+1.88</f>
        <v>82.851499999999987</v>
      </c>
      <c r="K44" s="77">
        <f>70.41*1.15</f>
        <v>80.971499999999992</v>
      </c>
    </row>
    <row r="45" spans="2:11" s="64" customFormat="1">
      <c r="B45" s="116" t="s">
        <v>290</v>
      </c>
      <c r="C45" s="146" t="s">
        <v>21</v>
      </c>
      <c r="D45" s="237">
        <f t="shared" si="30"/>
        <v>120.708125</v>
      </c>
      <c r="E45" s="170">
        <f t="shared" si="31"/>
        <v>115.87979999999999</v>
      </c>
      <c r="F45" s="161">
        <f t="shared" si="32"/>
        <v>111.05147499999998</v>
      </c>
      <c r="G45" s="171">
        <f t="shared" si="33"/>
        <v>106.22315</v>
      </c>
      <c r="H45" s="168">
        <f t="shared" si="34"/>
        <v>101.394825</v>
      </c>
      <c r="I45" s="66"/>
      <c r="J45" s="69">
        <f>K45+4.44</f>
        <v>96.566499999999991</v>
      </c>
      <c r="K45" s="77">
        <f>80.11*1.15</f>
        <v>92.126499999999993</v>
      </c>
    </row>
    <row r="46" spans="2:11" s="64" customFormat="1" ht="15.75" thickBot="1">
      <c r="B46" s="116" t="s">
        <v>291</v>
      </c>
      <c r="C46" s="146" t="s">
        <v>21</v>
      </c>
      <c r="D46" s="238">
        <f t="shared" si="30"/>
        <v>129.30249999999998</v>
      </c>
      <c r="E46" s="177">
        <f t="shared" si="31"/>
        <v>124.13039999999998</v>
      </c>
      <c r="F46" s="162">
        <f t="shared" si="32"/>
        <v>118.95829999999998</v>
      </c>
      <c r="G46" s="178">
        <f t="shared" si="33"/>
        <v>113.78620000000001</v>
      </c>
      <c r="H46" s="169">
        <f t="shared" si="34"/>
        <v>108.61409999999999</v>
      </c>
      <c r="I46" s="66"/>
      <c r="J46" s="69">
        <f>K46+5.37</f>
        <v>103.44199999999999</v>
      </c>
      <c r="K46" s="77">
        <f>85.28*1.15</f>
        <v>98.071999999999989</v>
      </c>
    </row>
    <row r="47" spans="2:11" s="64" customFormat="1" ht="15.75" thickBot="1">
      <c r="B47" s="1673" t="s">
        <v>264</v>
      </c>
      <c r="C47" s="1674"/>
      <c r="D47" s="1674"/>
      <c r="E47" s="1674"/>
      <c r="F47" s="1674"/>
      <c r="G47" s="1674"/>
      <c r="H47" s="1675"/>
      <c r="I47" s="66"/>
      <c r="J47" s="69"/>
      <c r="K47" s="77"/>
    </row>
    <row r="48" spans="2:11" s="64" customFormat="1">
      <c r="B48" s="116" t="s">
        <v>292</v>
      </c>
      <c r="C48" s="146" t="s">
        <v>21</v>
      </c>
      <c r="D48" s="236">
        <f t="shared" ref="D48:D53" si="35">J48*1.25</f>
        <v>34.248749999999994</v>
      </c>
      <c r="E48" s="175">
        <f t="shared" ref="E48:E53" si="36">J48*1.2</f>
        <v>32.878799999999998</v>
      </c>
      <c r="F48" s="160">
        <f>J48*1.15</f>
        <v>31.508849999999995</v>
      </c>
      <c r="G48" s="176">
        <f>J48*1.1</f>
        <v>30.1389</v>
      </c>
      <c r="H48" s="167">
        <f>J48*1.05</f>
        <v>28.768949999999997</v>
      </c>
      <c r="I48" s="66"/>
      <c r="J48" s="69">
        <f>K48+1.11</f>
        <v>27.398999999999997</v>
      </c>
      <c r="K48" s="77">
        <f>22.86*1.15</f>
        <v>26.288999999999998</v>
      </c>
    </row>
    <row r="49" spans="2:11" s="64" customFormat="1">
      <c r="B49" s="116" t="s">
        <v>293</v>
      </c>
      <c r="C49" s="146" t="s">
        <v>21</v>
      </c>
      <c r="D49" s="237">
        <f t="shared" si="35"/>
        <v>37.774374999999992</v>
      </c>
      <c r="E49" s="170">
        <f t="shared" si="36"/>
        <v>36.263399999999997</v>
      </c>
      <c r="F49" s="161">
        <f t="shared" ref="F49:F53" si="37">J49*1.15</f>
        <v>34.752424999999995</v>
      </c>
      <c r="G49" s="171">
        <f t="shared" ref="G49:G53" si="38">J49*1.1</f>
        <v>33.24145</v>
      </c>
      <c r="H49" s="168">
        <f t="shared" ref="H49:H53" si="39">J49*1.05</f>
        <v>31.730474999999998</v>
      </c>
      <c r="I49" s="66"/>
      <c r="J49" s="69">
        <f>K49+1.55</f>
        <v>30.219499999999996</v>
      </c>
      <c r="K49" s="77">
        <f>24.93*1.15</f>
        <v>28.669499999999996</v>
      </c>
    </row>
    <row r="50" spans="2:11" s="64" customFormat="1">
      <c r="B50" s="116" t="s">
        <v>294</v>
      </c>
      <c r="C50" s="146" t="s">
        <v>21</v>
      </c>
      <c r="D50" s="237">
        <f t="shared" si="35"/>
        <v>42.599999999999994</v>
      </c>
      <c r="E50" s="170">
        <f t="shared" si="36"/>
        <v>40.895999999999994</v>
      </c>
      <c r="F50" s="161">
        <f t="shared" si="37"/>
        <v>39.191999999999993</v>
      </c>
      <c r="G50" s="171">
        <f t="shared" si="38"/>
        <v>37.488</v>
      </c>
      <c r="H50" s="168">
        <f t="shared" si="39"/>
        <v>35.783999999999999</v>
      </c>
      <c r="I50" s="66"/>
      <c r="J50" s="69">
        <f>K50+1.88</f>
        <v>34.08</v>
      </c>
      <c r="K50" s="77">
        <f>28*1.15</f>
        <v>32.199999999999996</v>
      </c>
    </row>
    <row r="51" spans="2:11" s="64" customFormat="1">
      <c r="B51" s="116" t="s">
        <v>295</v>
      </c>
      <c r="C51" s="146" t="s">
        <v>21</v>
      </c>
      <c r="D51" s="237">
        <f t="shared" si="35"/>
        <v>46.064374999999998</v>
      </c>
      <c r="E51" s="170">
        <f t="shared" si="36"/>
        <v>44.221800000000002</v>
      </c>
      <c r="F51" s="161">
        <f t="shared" si="37"/>
        <v>42.379224999999998</v>
      </c>
      <c r="G51" s="171">
        <f t="shared" si="38"/>
        <v>40.536650000000002</v>
      </c>
      <c r="H51" s="168">
        <f t="shared" si="39"/>
        <v>38.694075000000005</v>
      </c>
      <c r="I51" s="66"/>
      <c r="J51" s="69">
        <f>K51+1.88</f>
        <v>36.851500000000001</v>
      </c>
      <c r="K51" s="77">
        <f>30.41*1.15</f>
        <v>34.971499999999999</v>
      </c>
    </row>
    <row r="52" spans="2:11" s="64" customFormat="1">
      <c r="B52" s="116" t="s">
        <v>296</v>
      </c>
      <c r="C52" s="146" t="s">
        <v>21</v>
      </c>
      <c r="D52" s="237">
        <f t="shared" si="35"/>
        <v>63.208124999999988</v>
      </c>
      <c r="E52" s="170">
        <f t="shared" si="36"/>
        <v>60.679799999999986</v>
      </c>
      <c r="F52" s="161">
        <f t="shared" si="37"/>
        <v>58.151474999999984</v>
      </c>
      <c r="G52" s="171">
        <f t="shared" si="38"/>
        <v>55.623149999999995</v>
      </c>
      <c r="H52" s="168">
        <f t="shared" si="39"/>
        <v>53.094824999999993</v>
      </c>
      <c r="I52" s="66"/>
      <c r="J52" s="69">
        <f>K52+4.44</f>
        <v>50.566499999999991</v>
      </c>
      <c r="K52" s="77">
        <f>40.11*1.15</f>
        <v>46.126499999999993</v>
      </c>
    </row>
    <row r="53" spans="2:11" s="64" customFormat="1" ht="15.75" thickBot="1">
      <c r="B53" s="116" t="s">
        <v>297</v>
      </c>
      <c r="C53" s="146" t="s">
        <v>21</v>
      </c>
      <c r="D53" s="238">
        <f t="shared" si="35"/>
        <v>71.802499999999995</v>
      </c>
      <c r="E53" s="177">
        <f t="shared" si="36"/>
        <v>68.930399999999992</v>
      </c>
      <c r="F53" s="162">
        <f t="shared" si="37"/>
        <v>66.058299999999988</v>
      </c>
      <c r="G53" s="178">
        <f t="shared" si="38"/>
        <v>63.186199999999999</v>
      </c>
      <c r="H53" s="169">
        <f t="shared" si="39"/>
        <v>60.314099999999996</v>
      </c>
      <c r="I53" s="66"/>
      <c r="J53" s="69">
        <f>K53+5.37</f>
        <v>57.441999999999993</v>
      </c>
      <c r="K53" s="77">
        <f>45.28*1.15</f>
        <v>52.071999999999996</v>
      </c>
    </row>
    <row r="54" spans="2:11" s="64" customFormat="1" ht="30.75" customHeight="1" thickBot="1">
      <c r="B54" s="1673" t="s">
        <v>266</v>
      </c>
      <c r="C54" s="1674"/>
      <c r="D54" s="1674"/>
      <c r="E54" s="1674"/>
      <c r="F54" s="1674"/>
      <c r="G54" s="1674"/>
      <c r="H54" s="1675"/>
      <c r="I54" s="66"/>
      <c r="J54" s="69"/>
      <c r="K54" s="77"/>
    </row>
    <row r="55" spans="2:11" s="64" customFormat="1">
      <c r="B55" s="116" t="s">
        <v>298</v>
      </c>
      <c r="C55" s="146" t="s">
        <v>21</v>
      </c>
      <c r="D55" s="236">
        <f t="shared" ref="D55:D60" si="40">J55*1.25</f>
        <v>48.623749999999994</v>
      </c>
      <c r="E55" s="175">
        <f t="shared" ref="E55:E60" si="41">J55*1.2</f>
        <v>46.678799999999988</v>
      </c>
      <c r="F55" s="160">
        <f>J55*1.15</f>
        <v>44.73384999999999</v>
      </c>
      <c r="G55" s="176">
        <f>J55*1.1</f>
        <v>42.788899999999998</v>
      </c>
      <c r="H55" s="167">
        <f>J55*1.05</f>
        <v>40.843949999999992</v>
      </c>
      <c r="I55" s="66"/>
      <c r="J55" s="69">
        <f>K55+1.11</f>
        <v>38.898999999999994</v>
      </c>
      <c r="K55" s="77">
        <f>32.86*1.15</f>
        <v>37.788999999999994</v>
      </c>
    </row>
    <row r="56" spans="2:11" s="64" customFormat="1">
      <c r="B56" s="116" t="s">
        <v>299</v>
      </c>
      <c r="C56" s="146" t="s">
        <v>21</v>
      </c>
      <c r="D56" s="237">
        <f t="shared" si="40"/>
        <v>52.149374999999992</v>
      </c>
      <c r="E56" s="170">
        <f t="shared" si="41"/>
        <v>50.063399999999994</v>
      </c>
      <c r="F56" s="161">
        <f t="shared" ref="F56:F60" si="42">J56*1.15</f>
        <v>47.97742499999999</v>
      </c>
      <c r="G56" s="171">
        <f t="shared" ref="G56:G60" si="43">J56*1.1</f>
        <v>45.891449999999999</v>
      </c>
      <c r="H56" s="168">
        <f t="shared" ref="H56:H60" si="44">J56*1.05</f>
        <v>43.805475000000001</v>
      </c>
      <c r="I56" s="66"/>
      <c r="J56" s="69">
        <f>K56+1.55</f>
        <v>41.719499999999996</v>
      </c>
      <c r="K56" s="77">
        <f>34.93*1.15</f>
        <v>40.169499999999999</v>
      </c>
    </row>
    <row r="57" spans="2:11" s="64" customFormat="1">
      <c r="B57" s="116" t="s">
        <v>300</v>
      </c>
      <c r="C57" s="146" t="s">
        <v>21</v>
      </c>
      <c r="D57" s="237">
        <f t="shared" si="40"/>
        <v>56.974999999999994</v>
      </c>
      <c r="E57" s="170">
        <f t="shared" si="41"/>
        <v>54.695999999999998</v>
      </c>
      <c r="F57" s="161">
        <f t="shared" si="42"/>
        <v>52.416999999999994</v>
      </c>
      <c r="G57" s="171">
        <f t="shared" si="43"/>
        <v>50.138000000000005</v>
      </c>
      <c r="H57" s="168">
        <f t="shared" si="44"/>
        <v>47.859000000000002</v>
      </c>
      <c r="I57" s="66"/>
      <c r="J57" s="69">
        <f>K57+1.88</f>
        <v>45.58</v>
      </c>
      <c r="K57" s="77">
        <f>38*1.15</f>
        <v>43.699999999999996</v>
      </c>
    </row>
    <row r="58" spans="2:11" s="64" customFormat="1">
      <c r="B58" s="116" t="s">
        <v>301</v>
      </c>
      <c r="C58" s="146" t="s">
        <v>21</v>
      </c>
      <c r="D58" s="237">
        <f t="shared" si="40"/>
        <v>60.439374999999991</v>
      </c>
      <c r="E58" s="170">
        <f t="shared" si="41"/>
        <v>58.021799999999992</v>
      </c>
      <c r="F58" s="161">
        <f t="shared" si="42"/>
        <v>55.604224999999992</v>
      </c>
      <c r="G58" s="171">
        <f t="shared" si="43"/>
        <v>53.18665</v>
      </c>
      <c r="H58" s="168">
        <f t="shared" si="44"/>
        <v>50.769074999999994</v>
      </c>
      <c r="I58" s="66"/>
      <c r="J58" s="69">
        <f>K58+1.88</f>
        <v>48.351499999999994</v>
      </c>
      <c r="K58" s="77">
        <f>40.41*1.15</f>
        <v>46.471499999999992</v>
      </c>
    </row>
    <row r="59" spans="2:11" s="64" customFormat="1">
      <c r="B59" s="116" t="s">
        <v>302</v>
      </c>
      <c r="C59" s="146" t="s">
        <v>21</v>
      </c>
      <c r="D59" s="237">
        <f t="shared" si="40"/>
        <v>77.583124999999995</v>
      </c>
      <c r="E59" s="170">
        <f t="shared" si="41"/>
        <v>74.479799999999983</v>
      </c>
      <c r="F59" s="161">
        <f t="shared" si="42"/>
        <v>71.376474999999985</v>
      </c>
      <c r="G59" s="171">
        <f t="shared" si="43"/>
        <v>68.273150000000001</v>
      </c>
      <c r="H59" s="168">
        <f t="shared" si="44"/>
        <v>65.169824999999989</v>
      </c>
      <c r="I59" s="66"/>
      <c r="J59" s="69">
        <f>K59+4.44</f>
        <v>62.066499999999991</v>
      </c>
      <c r="K59" s="77">
        <f>50.11*1.15</f>
        <v>57.626499999999993</v>
      </c>
    </row>
    <row r="60" spans="2:11" s="64" customFormat="1" ht="15.75" thickBot="1">
      <c r="B60" s="116" t="s">
        <v>303</v>
      </c>
      <c r="C60" s="146" t="s">
        <v>21</v>
      </c>
      <c r="D60" s="238">
        <f t="shared" si="40"/>
        <v>86.177499999999995</v>
      </c>
      <c r="E60" s="177">
        <f t="shared" si="41"/>
        <v>82.730399999999989</v>
      </c>
      <c r="F60" s="162">
        <f t="shared" si="42"/>
        <v>79.283299999999983</v>
      </c>
      <c r="G60" s="178">
        <f t="shared" si="43"/>
        <v>75.836200000000005</v>
      </c>
      <c r="H60" s="169">
        <f t="shared" si="44"/>
        <v>72.389099999999999</v>
      </c>
      <c r="I60" s="66"/>
      <c r="J60" s="69">
        <f>K60+5.37</f>
        <v>68.941999999999993</v>
      </c>
      <c r="K60" s="77">
        <f>55.28*1.15</f>
        <v>63.571999999999996</v>
      </c>
    </row>
    <row r="61" spans="2:11" s="64" customFormat="1" ht="15.75" thickBot="1">
      <c r="B61" s="1673" t="s">
        <v>267</v>
      </c>
      <c r="C61" s="1674"/>
      <c r="D61" s="1674"/>
      <c r="E61" s="1674"/>
      <c r="F61" s="1674"/>
      <c r="G61" s="1674"/>
      <c r="H61" s="1675"/>
      <c r="I61" s="66"/>
      <c r="J61" s="69"/>
      <c r="K61" s="77"/>
    </row>
    <row r="62" spans="2:11" s="64" customFormat="1">
      <c r="B62" s="116" t="s">
        <v>304</v>
      </c>
      <c r="C62" s="146" t="s">
        <v>21</v>
      </c>
      <c r="D62" s="236">
        <f t="shared" ref="D62:D67" si="45">J62*1.25</f>
        <v>48.623749999999994</v>
      </c>
      <c r="E62" s="175">
        <f t="shared" ref="E62:E67" si="46">J62*1.2</f>
        <v>46.678799999999988</v>
      </c>
      <c r="F62" s="160">
        <f>J62*1.15</f>
        <v>44.73384999999999</v>
      </c>
      <c r="G62" s="176">
        <f>J62*1.1</f>
        <v>42.788899999999998</v>
      </c>
      <c r="H62" s="167">
        <f>J62*1.05</f>
        <v>40.843949999999992</v>
      </c>
      <c r="I62" s="66"/>
      <c r="J62" s="69">
        <f>K62+1.11</f>
        <v>38.898999999999994</v>
      </c>
      <c r="K62" s="77">
        <f>32.86*1.15</f>
        <v>37.788999999999994</v>
      </c>
    </row>
    <row r="63" spans="2:11" s="64" customFormat="1">
      <c r="B63" s="116" t="s">
        <v>305</v>
      </c>
      <c r="C63" s="146" t="s">
        <v>21</v>
      </c>
      <c r="D63" s="237">
        <f t="shared" si="45"/>
        <v>52.149374999999992</v>
      </c>
      <c r="E63" s="170">
        <f t="shared" si="46"/>
        <v>50.063399999999994</v>
      </c>
      <c r="F63" s="161">
        <f t="shared" ref="F63:F67" si="47">J63*1.15</f>
        <v>47.97742499999999</v>
      </c>
      <c r="G63" s="171">
        <f t="shared" ref="G63:G67" si="48">J63*1.1</f>
        <v>45.891449999999999</v>
      </c>
      <c r="H63" s="168">
        <f t="shared" ref="H63:H67" si="49">J63*1.05</f>
        <v>43.805475000000001</v>
      </c>
      <c r="I63" s="66"/>
      <c r="J63" s="69">
        <f>K63+1.55</f>
        <v>41.719499999999996</v>
      </c>
      <c r="K63" s="77">
        <f>34.93*1.15</f>
        <v>40.169499999999999</v>
      </c>
    </row>
    <row r="64" spans="2:11" s="64" customFormat="1">
      <c r="B64" s="116" t="s">
        <v>306</v>
      </c>
      <c r="C64" s="146" t="s">
        <v>21</v>
      </c>
      <c r="D64" s="237">
        <f t="shared" si="45"/>
        <v>56.974999999999994</v>
      </c>
      <c r="E64" s="170">
        <f t="shared" si="46"/>
        <v>54.695999999999998</v>
      </c>
      <c r="F64" s="161">
        <f t="shared" si="47"/>
        <v>52.416999999999994</v>
      </c>
      <c r="G64" s="171">
        <f t="shared" si="48"/>
        <v>50.138000000000005</v>
      </c>
      <c r="H64" s="168">
        <f t="shared" si="49"/>
        <v>47.859000000000002</v>
      </c>
      <c r="I64" s="66"/>
      <c r="J64" s="69">
        <f>K64+1.88</f>
        <v>45.58</v>
      </c>
      <c r="K64" s="77">
        <f>38*1.15</f>
        <v>43.699999999999996</v>
      </c>
    </row>
    <row r="65" spans="2:11" s="64" customFormat="1">
      <c r="B65" s="116" t="s">
        <v>307</v>
      </c>
      <c r="C65" s="146" t="s">
        <v>21</v>
      </c>
      <c r="D65" s="237">
        <f t="shared" si="45"/>
        <v>60.439374999999991</v>
      </c>
      <c r="E65" s="170">
        <f t="shared" si="46"/>
        <v>58.021799999999992</v>
      </c>
      <c r="F65" s="161">
        <f t="shared" si="47"/>
        <v>55.604224999999992</v>
      </c>
      <c r="G65" s="171">
        <f t="shared" si="48"/>
        <v>53.18665</v>
      </c>
      <c r="H65" s="168">
        <f t="shared" si="49"/>
        <v>50.769074999999994</v>
      </c>
      <c r="I65" s="66"/>
      <c r="J65" s="69">
        <f>K65+1.88</f>
        <v>48.351499999999994</v>
      </c>
      <c r="K65" s="77">
        <f>40.41*1.15</f>
        <v>46.471499999999992</v>
      </c>
    </row>
    <row r="66" spans="2:11" s="64" customFormat="1">
      <c r="B66" s="116" t="s">
        <v>308</v>
      </c>
      <c r="C66" s="146" t="s">
        <v>21</v>
      </c>
      <c r="D66" s="237">
        <f t="shared" si="45"/>
        <v>77.583124999999995</v>
      </c>
      <c r="E66" s="170">
        <f t="shared" si="46"/>
        <v>74.479799999999983</v>
      </c>
      <c r="F66" s="161">
        <f t="shared" si="47"/>
        <v>71.376474999999985</v>
      </c>
      <c r="G66" s="171">
        <f t="shared" si="48"/>
        <v>68.273150000000001</v>
      </c>
      <c r="H66" s="168">
        <f t="shared" si="49"/>
        <v>65.169824999999989</v>
      </c>
      <c r="I66" s="66"/>
      <c r="J66" s="69">
        <f>K66+4.44</f>
        <v>62.066499999999991</v>
      </c>
      <c r="K66" s="77">
        <f>50.11*1.15</f>
        <v>57.626499999999993</v>
      </c>
    </row>
    <row r="67" spans="2:11" s="64" customFormat="1" ht="15.75" thickBot="1">
      <c r="B67" s="116" t="s">
        <v>309</v>
      </c>
      <c r="C67" s="146" t="s">
        <v>21</v>
      </c>
      <c r="D67" s="238">
        <f t="shared" si="45"/>
        <v>86.177499999999995</v>
      </c>
      <c r="E67" s="177">
        <f t="shared" si="46"/>
        <v>82.730399999999989</v>
      </c>
      <c r="F67" s="162">
        <f t="shared" si="47"/>
        <v>79.283299999999983</v>
      </c>
      <c r="G67" s="178">
        <f t="shared" si="48"/>
        <v>75.836200000000005</v>
      </c>
      <c r="H67" s="169">
        <f t="shared" si="49"/>
        <v>72.389099999999999</v>
      </c>
      <c r="I67" s="66"/>
      <c r="J67" s="69">
        <f>K67+5.37</f>
        <v>68.941999999999993</v>
      </c>
      <c r="K67" s="77">
        <f>55.28*1.15</f>
        <v>63.571999999999996</v>
      </c>
    </row>
    <row r="68" spans="2:11" s="64" customFormat="1" ht="15.75" thickBot="1">
      <c r="B68" s="1676" t="s">
        <v>268</v>
      </c>
      <c r="C68" s="1674"/>
      <c r="D68" s="1674"/>
      <c r="E68" s="1674"/>
      <c r="F68" s="1674"/>
      <c r="G68" s="1674"/>
      <c r="H68" s="1675"/>
      <c r="I68" s="66"/>
      <c r="J68" s="69"/>
      <c r="K68" s="77"/>
    </row>
    <row r="69" spans="2:11" s="64" customFormat="1">
      <c r="B69" s="116" t="s">
        <v>310</v>
      </c>
      <c r="C69" s="146" t="s">
        <v>21</v>
      </c>
      <c r="D69" s="236">
        <f t="shared" ref="D69:D74" si="50">J69*1.25</f>
        <v>185.25</v>
      </c>
      <c r="E69" s="175">
        <f t="shared" ref="E69:E74" si="51">J69*1.2</f>
        <v>177.83999999999997</v>
      </c>
      <c r="F69" s="160">
        <f>J69*1.15</f>
        <v>170.42999999999998</v>
      </c>
      <c r="G69" s="176">
        <f>J69*1.1</f>
        <v>163.02000000000001</v>
      </c>
      <c r="H69" s="167">
        <f>J69*1.05</f>
        <v>155.60999999999999</v>
      </c>
      <c r="I69" s="66"/>
      <c r="J69" s="69">
        <f>K69+1</f>
        <v>148.19999999999999</v>
      </c>
      <c r="K69" s="77">
        <f>128*1.15</f>
        <v>147.19999999999999</v>
      </c>
    </row>
    <row r="70" spans="2:11" s="64" customFormat="1">
      <c r="B70" s="116" t="s">
        <v>311</v>
      </c>
      <c r="C70" s="146" t="s">
        <v>21</v>
      </c>
      <c r="D70" s="237">
        <f t="shared" si="50"/>
        <v>241.12499999999997</v>
      </c>
      <c r="E70" s="170">
        <f t="shared" si="51"/>
        <v>231.47999999999996</v>
      </c>
      <c r="F70" s="161">
        <f t="shared" ref="F70:F74" si="52">J70*1.15</f>
        <v>221.83499999999995</v>
      </c>
      <c r="G70" s="171">
        <f t="shared" ref="G70:G74" si="53">J70*1.1</f>
        <v>212.19</v>
      </c>
      <c r="H70" s="168">
        <f t="shared" ref="H70:H74" si="54">J70*1.05</f>
        <v>202.54499999999999</v>
      </c>
      <c r="I70" s="66"/>
      <c r="J70" s="69">
        <f>K70+2</f>
        <v>192.89999999999998</v>
      </c>
      <c r="K70" s="77">
        <f>166*1.15</f>
        <v>190.89999999999998</v>
      </c>
    </row>
    <row r="71" spans="2:11" s="64" customFormat="1">
      <c r="B71" s="116" t="s">
        <v>312</v>
      </c>
      <c r="C71" s="146" t="s">
        <v>21</v>
      </c>
      <c r="D71" s="237">
        <f t="shared" si="50"/>
        <v>374.625</v>
      </c>
      <c r="E71" s="170">
        <f t="shared" si="51"/>
        <v>359.64</v>
      </c>
      <c r="F71" s="161">
        <f t="shared" si="52"/>
        <v>344.65499999999997</v>
      </c>
      <c r="G71" s="171">
        <f t="shared" si="53"/>
        <v>329.67</v>
      </c>
      <c r="H71" s="168">
        <f t="shared" si="54"/>
        <v>314.685</v>
      </c>
      <c r="I71" s="66"/>
      <c r="J71" s="69">
        <f>K71+3</f>
        <v>299.7</v>
      </c>
      <c r="K71" s="77">
        <f>258*1.15</f>
        <v>296.7</v>
      </c>
    </row>
    <row r="72" spans="2:11" s="64" customFormat="1">
      <c r="B72" s="116" t="s">
        <v>313</v>
      </c>
      <c r="C72" s="146" t="s">
        <v>21</v>
      </c>
      <c r="D72" s="237">
        <f t="shared" si="50"/>
        <v>476.5</v>
      </c>
      <c r="E72" s="170">
        <f t="shared" si="51"/>
        <v>457.44</v>
      </c>
      <c r="F72" s="161">
        <f t="shared" si="52"/>
        <v>438.37999999999994</v>
      </c>
      <c r="G72" s="171">
        <f t="shared" si="53"/>
        <v>419.32</v>
      </c>
      <c r="H72" s="168">
        <f t="shared" si="54"/>
        <v>400.26</v>
      </c>
      <c r="I72" s="66"/>
      <c r="J72" s="69">
        <f>K72+4</f>
        <v>381.2</v>
      </c>
      <c r="K72" s="77">
        <f>328*1.15</f>
        <v>377.2</v>
      </c>
    </row>
    <row r="73" spans="2:11" s="64" customFormat="1">
      <c r="B73" s="116" t="s">
        <v>314</v>
      </c>
      <c r="C73" s="146" t="s">
        <v>21</v>
      </c>
      <c r="D73" s="237">
        <f t="shared" si="50"/>
        <v>615.75</v>
      </c>
      <c r="E73" s="170">
        <f t="shared" si="51"/>
        <v>591.11999999999989</v>
      </c>
      <c r="F73" s="161">
        <f t="shared" si="52"/>
        <v>566.4899999999999</v>
      </c>
      <c r="G73" s="171">
        <f t="shared" si="53"/>
        <v>541.86</v>
      </c>
      <c r="H73" s="168">
        <f t="shared" si="54"/>
        <v>517.23</v>
      </c>
      <c r="I73" s="66"/>
      <c r="J73" s="69">
        <f>K73+5</f>
        <v>492.59999999999997</v>
      </c>
      <c r="K73" s="77">
        <f>424*1.15</f>
        <v>487.59999999999997</v>
      </c>
    </row>
    <row r="74" spans="2:11" s="64" customFormat="1" ht="15.75" thickBot="1">
      <c r="B74" s="116" t="s">
        <v>315</v>
      </c>
      <c r="C74" s="146" t="s">
        <v>21</v>
      </c>
      <c r="D74" s="238">
        <f t="shared" si="50"/>
        <v>751.37499999999989</v>
      </c>
      <c r="E74" s="177">
        <f t="shared" si="51"/>
        <v>721.31999999999982</v>
      </c>
      <c r="F74" s="162">
        <f t="shared" si="52"/>
        <v>691.26499999999987</v>
      </c>
      <c r="G74" s="178">
        <f t="shared" si="53"/>
        <v>661.20999999999992</v>
      </c>
      <c r="H74" s="169">
        <f t="shared" si="54"/>
        <v>631.15499999999997</v>
      </c>
      <c r="I74" s="66"/>
      <c r="J74" s="69">
        <f>K74+10</f>
        <v>601.09999999999991</v>
      </c>
      <c r="K74" s="77">
        <f>514*1.15</f>
        <v>591.09999999999991</v>
      </c>
    </row>
    <row r="75" spans="2:11" s="64" customFormat="1" ht="30.75" customHeight="1" thickBot="1">
      <c r="B75" s="1676" t="s">
        <v>269</v>
      </c>
      <c r="C75" s="1674"/>
      <c r="D75" s="1674"/>
      <c r="E75" s="1674"/>
      <c r="F75" s="1674"/>
      <c r="G75" s="1674"/>
      <c r="H75" s="1675"/>
      <c r="I75" s="66"/>
      <c r="J75" s="69"/>
      <c r="K75" s="77"/>
    </row>
    <row r="76" spans="2:11" s="64" customFormat="1">
      <c r="B76" s="115" t="s">
        <v>316</v>
      </c>
      <c r="C76" s="145" t="s">
        <v>21</v>
      </c>
      <c r="D76" s="236">
        <f t="shared" ref="D76:D78" si="55">J76*1.25</f>
        <v>133.12499999999997</v>
      </c>
      <c r="E76" s="175">
        <f t="shared" ref="E76:E78" si="56">J76*1.2</f>
        <v>127.79999999999998</v>
      </c>
      <c r="F76" s="160">
        <f>J76*1.15</f>
        <v>122.47499999999998</v>
      </c>
      <c r="G76" s="176">
        <f>J76*1.1</f>
        <v>117.14999999999999</v>
      </c>
      <c r="H76" s="167">
        <f>J76*1.05</f>
        <v>111.82499999999999</v>
      </c>
      <c r="I76" s="66"/>
      <c r="J76" s="69">
        <f>K76+3</f>
        <v>106.49999999999999</v>
      </c>
      <c r="K76" s="77">
        <f>90*1.15</f>
        <v>103.49999999999999</v>
      </c>
    </row>
    <row r="77" spans="2:11" s="64" customFormat="1">
      <c r="B77" s="116" t="s">
        <v>317</v>
      </c>
      <c r="C77" s="146" t="s">
        <v>21</v>
      </c>
      <c r="D77" s="237">
        <f t="shared" si="55"/>
        <v>174.9375</v>
      </c>
      <c r="E77" s="170">
        <f t="shared" si="56"/>
        <v>167.93999999999997</v>
      </c>
      <c r="F77" s="161">
        <f>J77*1.15</f>
        <v>160.94249999999997</v>
      </c>
      <c r="G77" s="171">
        <f t="shared" ref="G77:G78" si="57">J77*1.1</f>
        <v>153.94499999999999</v>
      </c>
      <c r="H77" s="168">
        <f t="shared" ref="H77:H78" si="58">J77*1.05</f>
        <v>146.94749999999999</v>
      </c>
      <c r="I77" s="66"/>
      <c r="J77" s="69">
        <f>K77+10</f>
        <v>139.94999999999999</v>
      </c>
      <c r="K77" s="77">
        <f>113*1.15</f>
        <v>129.94999999999999</v>
      </c>
    </row>
    <row r="78" spans="2:11" s="64" customFormat="1" ht="15.75" thickBot="1">
      <c r="B78" s="117" t="s">
        <v>318</v>
      </c>
      <c r="C78" s="148" t="s">
        <v>21</v>
      </c>
      <c r="D78" s="238">
        <f t="shared" si="55"/>
        <v>235.52499999999998</v>
      </c>
      <c r="E78" s="177">
        <f t="shared" si="56"/>
        <v>226.10399999999998</v>
      </c>
      <c r="F78" s="162">
        <f>J78*1.15</f>
        <v>216.68299999999996</v>
      </c>
      <c r="G78" s="178">
        <f t="shared" si="57"/>
        <v>207.262</v>
      </c>
      <c r="H78" s="169">
        <f t="shared" si="58"/>
        <v>197.84100000000001</v>
      </c>
      <c r="I78" s="66"/>
      <c r="J78" s="69">
        <f>K78+15</f>
        <v>188.42</v>
      </c>
      <c r="K78" s="77">
        <f>150.8*1.15</f>
        <v>173.42</v>
      </c>
    </row>
    <row r="79" spans="2:11" s="89" customFormat="1" ht="15" customHeight="1">
      <c r="B79" s="82"/>
      <c r="C79" s="149"/>
      <c r="D79" s="239"/>
      <c r="E79" s="84"/>
      <c r="F79" s="84"/>
      <c r="G79" s="84"/>
      <c r="H79" s="84"/>
      <c r="I79" s="85"/>
      <c r="J79" s="86"/>
      <c r="K79" s="88"/>
    </row>
    <row r="80" spans="2:11" s="89" customFormat="1" ht="15" customHeight="1">
      <c r="B80" s="82"/>
      <c r="C80" s="149"/>
      <c r="D80" s="239"/>
      <c r="E80" s="84"/>
      <c r="F80" s="84"/>
      <c r="G80" s="84"/>
      <c r="H80" s="84"/>
      <c r="I80" s="85"/>
      <c r="J80" s="86"/>
      <c r="K80" s="88"/>
    </row>
    <row r="81" spans="2:11" s="89" customFormat="1" ht="15" customHeight="1">
      <c r="B81" s="82"/>
      <c r="C81" s="149"/>
      <c r="D81" s="239"/>
      <c r="E81" s="84"/>
      <c r="F81" s="84"/>
      <c r="G81" s="84"/>
      <c r="H81" s="84"/>
      <c r="I81" s="85"/>
      <c r="J81" s="86"/>
      <c r="K81" s="88"/>
    </row>
    <row r="82" spans="2:11" s="89" customFormat="1" ht="15" customHeight="1">
      <c r="B82" s="82"/>
      <c r="C82" s="149"/>
      <c r="D82" s="239"/>
      <c r="E82" s="84"/>
      <c r="F82" s="84"/>
      <c r="G82" s="84"/>
      <c r="H82" s="84"/>
      <c r="I82" s="85"/>
      <c r="J82" s="86"/>
      <c r="K82" s="88"/>
    </row>
    <row r="83" spans="2:11" s="89" customFormat="1" ht="15" customHeight="1">
      <c r="B83" s="82"/>
      <c r="C83" s="149"/>
      <c r="D83" s="239"/>
      <c r="E83" s="84"/>
      <c r="F83" s="84"/>
      <c r="G83" s="84"/>
      <c r="H83" s="84"/>
      <c r="I83" s="85"/>
      <c r="J83" s="86"/>
      <c r="K83" s="88"/>
    </row>
    <row r="84" spans="2:11" s="89" customFormat="1" ht="15" customHeight="1">
      <c r="B84" s="82"/>
      <c r="C84" s="149"/>
      <c r="D84" s="239"/>
      <c r="E84" s="84"/>
      <c r="F84" s="84"/>
      <c r="G84" s="84"/>
      <c r="H84" s="84"/>
      <c r="I84" s="85"/>
      <c r="J84" s="86"/>
      <c r="K84" s="88"/>
    </row>
    <row r="85" spans="2:11" s="89" customFormat="1">
      <c r="B85" s="82"/>
      <c r="C85" s="149"/>
      <c r="D85" s="239"/>
      <c r="E85" s="84"/>
      <c r="F85" s="84"/>
      <c r="G85" s="84"/>
      <c r="H85" s="84"/>
      <c r="I85" s="85"/>
      <c r="J85" s="86"/>
      <c r="K85" s="88"/>
    </row>
    <row r="86" spans="2:11" s="89" customFormat="1">
      <c r="B86" s="82"/>
      <c r="C86" s="149"/>
      <c r="D86" s="239"/>
      <c r="E86" s="84"/>
      <c r="F86" s="84"/>
      <c r="G86" s="84"/>
      <c r="H86" s="84"/>
      <c r="I86" s="85"/>
      <c r="J86" s="86"/>
      <c r="K86" s="88"/>
    </row>
    <row r="87" spans="2:11" s="89" customFormat="1">
      <c r="B87" s="82"/>
      <c r="C87" s="149"/>
      <c r="D87" s="239"/>
      <c r="E87" s="84"/>
      <c r="F87" s="84"/>
      <c r="G87" s="84"/>
      <c r="H87" s="84"/>
      <c r="I87" s="85"/>
      <c r="J87" s="86"/>
      <c r="K87" s="88"/>
    </row>
    <row r="88" spans="2:11" s="89" customFormat="1">
      <c r="B88" s="82"/>
      <c r="C88" s="149"/>
      <c r="D88" s="239"/>
      <c r="E88" s="84"/>
      <c r="F88" s="84"/>
      <c r="G88" s="84"/>
      <c r="H88" s="84"/>
      <c r="I88" s="85"/>
      <c r="J88" s="86"/>
      <c r="K88" s="88"/>
    </row>
    <row r="89" spans="2:11" s="89" customFormat="1">
      <c r="B89" s="82"/>
      <c r="C89" s="149"/>
      <c r="D89" s="239"/>
      <c r="E89" s="84"/>
      <c r="F89" s="84"/>
      <c r="G89" s="84"/>
      <c r="H89" s="84"/>
      <c r="I89" s="85"/>
      <c r="J89" s="86"/>
      <c r="K89" s="88"/>
    </row>
    <row r="90" spans="2:11" s="89" customFormat="1">
      <c r="B90" s="82"/>
      <c r="C90" s="149"/>
      <c r="D90" s="239"/>
      <c r="E90" s="84"/>
      <c r="F90" s="84"/>
      <c r="G90" s="84"/>
      <c r="H90" s="84"/>
      <c r="I90" s="85"/>
      <c r="J90" s="86"/>
      <c r="K90" s="88"/>
    </row>
    <row r="91" spans="2:11" s="89" customFormat="1">
      <c r="B91" s="82"/>
      <c r="C91" s="149"/>
      <c r="D91" s="239"/>
      <c r="E91" s="84"/>
      <c r="F91" s="84"/>
      <c r="G91" s="84"/>
      <c r="H91" s="84"/>
      <c r="I91" s="85"/>
      <c r="J91" s="86"/>
      <c r="K91" s="88"/>
    </row>
    <row r="92" spans="2:11" s="89" customFormat="1">
      <c r="B92" s="82"/>
      <c r="C92" s="149"/>
      <c r="D92" s="239"/>
      <c r="E92" s="84"/>
      <c r="F92" s="84"/>
      <c r="G92" s="84"/>
      <c r="H92" s="84"/>
      <c r="I92" s="85"/>
      <c r="J92" s="86"/>
      <c r="K92" s="88"/>
    </row>
    <row r="93" spans="2:11" s="89" customFormat="1">
      <c r="B93" s="82"/>
      <c r="C93" s="149"/>
      <c r="D93" s="239"/>
      <c r="E93" s="84"/>
      <c r="F93" s="84"/>
      <c r="G93" s="84"/>
      <c r="H93" s="84"/>
      <c r="I93" s="85"/>
      <c r="J93" s="86"/>
      <c r="K93" s="88"/>
    </row>
    <row r="94" spans="2:11" s="89" customFormat="1">
      <c r="B94" s="82"/>
      <c r="C94" s="149"/>
      <c r="D94" s="239"/>
      <c r="E94" s="84"/>
      <c r="F94" s="84"/>
      <c r="G94" s="84"/>
      <c r="H94" s="84"/>
      <c r="I94" s="85"/>
      <c r="J94" s="86"/>
      <c r="K94" s="88"/>
    </row>
    <row r="95" spans="2:11" s="89" customFormat="1">
      <c r="B95" s="82"/>
      <c r="C95" s="149"/>
      <c r="D95" s="239"/>
      <c r="E95" s="84"/>
      <c r="F95" s="84"/>
      <c r="G95" s="84"/>
      <c r="H95" s="84"/>
      <c r="I95" s="85"/>
      <c r="J95" s="86"/>
      <c r="K95" s="88"/>
    </row>
    <row r="96" spans="2:11" s="89" customFormat="1">
      <c r="B96" s="82"/>
      <c r="C96" s="149"/>
      <c r="D96" s="239"/>
      <c r="E96" s="84"/>
      <c r="F96" s="84"/>
      <c r="G96" s="84"/>
      <c r="H96" s="84"/>
      <c r="I96" s="85"/>
      <c r="J96" s="86"/>
      <c r="K96" s="88"/>
    </row>
    <row r="97" spans="2:11" s="89" customFormat="1">
      <c r="B97" s="82"/>
      <c r="C97" s="149"/>
      <c r="D97" s="239"/>
      <c r="E97" s="84"/>
      <c r="F97" s="84"/>
      <c r="G97" s="84"/>
      <c r="H97" s="84"/>
      <c r="I97" s="85"/>
      <c r="J97" s="86"/>
      <c r="K97" s="88"/>
    </row>
    <row r="98" spans="2:11" s="89" customFormat="1">
      <c r="B98" s="82"/>
      <c r="C98" s="149"/>
      <c r="D98" s="239"/>
      <c r="E98" s="84"/>
      <c r="F98" s="84"/>
      <c r="G98" s="84"/>
      <c r="H98" s="84"/>
      <c r="I98" s="85"/>
      <c r="J98" s="86"/>
      <c r="K98" s="88"/>
    </row>
    <row r="99" spans="2:11" s="89" customFormat="1">
      <c r="B99" s="82"/>
      <c r="C99" s="149"/>
      <c r="D99" s="239"/>
      <c r="E99" s="84"/>
      <c r="F99" s="84"/>
      <c r="G99" s="84"/>
      <c r="H99" s="84"/>
      <c r="I99" s="85"/>
      <c r="J99" s="86"/>
      <c r="K99" s="88"/>
    </row>
    <row r="100" spans="2:11" s="89" customFormat="1">
      <c r="B100" s="82"/>
      <c r="C100" s="149"/>
      <c r="D100" s="239"/>
      <c r="E100" s="84"/>
      <c r="F100" s="84"/>
      <c r="G100" s="84"/>
      <c r="H100" s="84"/>
      <c r="I100" s="85"/>
      <c r="J100" s="86"/>
      <c r="K100" s="88"/>
    </row>
    <row r="101" spans="2:11" s="89" customFormat="1">
      <c r="B101" s="82"/>
      <c r="C101" s="149"/>
      <c r="D101" s="239"/>
      <c r="E101" s="84"/>
      <c r="F101" s="84"/>
      <c r="G101" s="84"/>
      <c r="H101" s="84"/>
      <c r="I101" s="85"/>
      <c r="J101" s="86"/>
      <c r="K101" s="88"/>
    </row>
    <row r="102" spans="2:11" s="89" customFormat="1">
      <c r="B102" s="82"/>
      <c r="C102" s="149"/>
      <c r="D102" s="239"/>
      <c r="E102" s="84"/>
      <c r="F102" s="84"/>
      <c r="G102" s="84"/>
      <c r="H102" s="84"/>
      <c r="I102" s="85"/>
      <c r="J102" s="86"/>
      <c r="K102" s="88"/>
    </row>
    <row r="103" spans="2:11" s="89" customFormat="1">
      <c r="B103" s="82"/>
      <c r="C103" s="149"/>
      <c r="D103" s="239"/>
      <c r="E103" s="84"/>
      <c r="F103" s="84"/>
      <c r="G103" s="84"/>
      <c r="H103" s="84"/>
      <c r="I103" s="85"/>
      <c r="J103" s="86"/>
      <c r="K103" s="88"/>
    </row>
    <row r="104" spans="2:11" s="89" customFormat="1">
      <c r="B104" s="82"/>
      <c r="C104" s="149"/>
      <c r="D104" s="239"/>
      <c r="E104" s="84"/>
      <c r="F104" s="84"/>
      <c r="G104" s="84"/>
      <c r="H104" s="84"/>
      <c r="I104" s="85"/>
      <c r="J104" s="86"/>
      <c r="K104" s="88"/>
    </row>
    <row r="105" spans="2:11" s="89" customFormat="1">
      <c r="B105" s="82"/>
      <c r="C105" s="149"/>
      <c r="D105" s="239"/>
      <c r="E105" s="84"/>
      <c r="F105" s="84"/>
      <c r="G105" s="84"/>
      <c r="H105" s="84"/>
      <c r="I105" s="85"/>
      <c r="J105" s="86"/>
      <c r="K105" s="88"/>
    </row>
    <row r="106" spans="2:11" s="89" customFormat="1">
      <c r="B106" s="82"/>
      <c r="C106" s="149"/>
      <c r="D106" s="239"/>
      <c r="E106" s="84"/>
      <c r="F106" s="84"/>
      <c r="G106" s="84"/>
      <c r="H106" s="84"/>
      <c r="I106" s="85"/>
      <c r="J106" s="86"/>
      <c r="K106" s="88"/>
    </row>
    <row r="107" spans="2:11" s="89" customFormat="1">
      <c r="B107" s="82"/>
      <c r="C107" s="149"/>
      <c r="D107" s="239"/>
      <c r="E107" s="84"/>
      <c r="F107" s="84"/>
      <c r="G107" s="84"/>
      <c r="H107" s="84"/>
      <c r="I107" s="85"/>
      <c r="J107" s="86"/>
      <c r="K107" s="88"/>
    </row>
    <row r="108" spans="2:11" s="89" customFormat="1">
      <c r="B108" s="82"/>
      <c r="C108" s="149"/>
      <c r="D108" s="239"/>
      <c r="E108" s="84"/>
      <c r="F108" s="84"/>
      <c r="G108" s="84"/>
      <c r="H108" s="84"/>
      <c r="I108" s="85"/>
      <c r="J108" s="86"/>
      <c r="K108" s="88"/>
    </row>
    <row r="109" spans="2:11" s="89" customFormat="1">
      <c r="B109" s="82"/>
      <c r="C109" s="149"/>
      <c r="D109" s="239"/>
      <c r="E109" s="84"/>
      <c r="F109" s="84"/>
      <c r="G109" s="84"/>
      <c r="H109" s="84"/>
      <c r="I109" s="85"/>
      <c r="J109" s="86"/>
      <c r="K109" s="88"/>
    </row>
    <row r="110" spans="2:11" s="89" customFormat="1">
      <c r="B110" s="82"/>
      <c r="C110" s="149"/>
      <c r="D110" s="235"/>
      <c r="E110" s="2"/>
      <c r="F110" s="2"/>
      <c r="G110" s="81"/>
      <c r="H110" s="81"/>
      <c r="I110" s="85"/>
      <c r="J110" s="86"/>
      <c r="K110" s="88"/>
    </row>
  </sheetData>
  <customSheetViews>
    <customSheetView guid="{FBB3E572-A647-4B8C-96C7-F43FE4F7CAA8}" scale="110" showPageBreaks="1" fitToPage="1" printArea="1" hiddenRows="1" hiddenColumns="1" view="pageBreakPreview">
      <pane ySplit="4" topLeftCell="A5" activePane="bottomLeft" state="frozen"/>
      <selection pane="bottomLeft" activeCell="B2" sqref="B2:H2"/>
      <pageMargins left="0.95" right="0.27559055118110237" top="0.39370078740157483" bottom="0.23622047244094491" header="0.31496062992125984" footer="0.19685039370078741"/>
      <pageSetup paperSize="9" scale="75" fitToHeight="2" orientation="portrait" verticalDpi="0" r:id="rId1"/>
    </customSheetView>
    <customSheetView guid="{900EF7B2-0D63-4DE2-9CFC-2D2B3788802C}" scale="110" showPageBreaks="1" fitToPage="1" printArea="1" hiddenRows="1" hiddenColumns="1" view="pageBreakPreview">
      <pane ySplit="4" topLeftCell="A5" activePane="bottomLeft" state="frozen"/>
      <selection pane="bottomLeft" activeCell="B69" sqref="B69"/>
      <pageMargins left="0.95" right="0.27559055118110237" top="0.39370078740157483" bottom="0.23622047244094491" header="0.31496062992125984" footer="0.19685039370078741"/>
      <pageSetup paperSize="9" scale="75" fitToHeight="2" orientation="portrait" verticalDpi="0" r:id="rId2"/>
    </customSheetView>
    <customSheetView guid="{CC6D6007-EFDE-464F-BD7C-A67043AC5D5C}" scale="110" showPageBreaks="1" fitToPage="1" printArea="1" hiddenRows="1" hiddenColumns="1" view="pageBreakPreview">
      <pane ySplit="4" topLeftCell="A5" activePane="bottomLeft" state="frozen"/>
      <selection pane="bottomLeft" activeCell="J43" sqref="J43"/>
      <pageMargins left="0.95" right="0.27559055118110237" top="0.39370078740157483" bottom="0.23622047244094491" header="0.31496062992125984" footer="0.19685039370078741"/>
      <pageSetup paperSize="9" scale="75" fitToHeight="2" orientation="portrait" verticalDpi="0" r:id="rId3"/>
    </customSheetView>
    <customSheetView guid="{C0FE86CC-5BB4-4265-957F-F51B909B3E81}" scale="110" showPageBreaks="1" fitToPage="1" printArea="1" hiddenRows="1" hiddenColumns="1" view="pageBreakPreview">
      <pane ySplit="4" topLeftCell="A14" activePane="bottomLeft" state="frozen"/>
      <selection pane="bottomLeft" activeCell="J43" sqref="J43"/>
      <pageMargins left="0.95" right="0.27559055118110237" top="0.39370078740157483" bottom="0.23622047244094491" header="0.31496062992125984" footer="0.19685039370078741"/>
      <pageSetup paperSize="9" scale="75" fitToHeight="2" orientation="portrait" verticalDpi="0" r:id="rId4"/>
    </customSheetView>
  </customSheetViews>
  <mergeCells count="13">
    <mergeCell ref="B47:H47"/>
    <mergeCell ref="B33:H33"/>
    <mergeCell ref="B41:H41"/>
    <mergeCell ref="B75:H75"/>
    <mergeCell ref="B54:H54"/>
    <mergeCell ref="B61:H61"/>
    <mergeCell ref="B68:H68"/>
    <mergeCell ref="B3:B4"/>
    <mergeCell ref="C3:C4"/>
    <mergeCell ref="J3:J5"/>
    <mergeCell ref="K3:K5"/>
    <mergeCell ref="B5:G5"/>
    <mergeCell ref="D3:H3"/>
  </mergeCells>
  <pageMargins left="0.95" right="0.27559055118110237" top="0.39370078740157483" bottom="0.23622047244094491" header="0.31496062992125984" footer="0.19685039370078741"/>
  <pageSetup paperSize="9" scale="75" fitToHeight="2" orientation="portrait" verticalDpi="0" r:id="rId5"/>
  <legacyDrawing r:id="rId6"/>
</worksheet>
</file>

<file path=xl/worksheets/sheet15.xml><?xml version="1.0" encoding="utf-8"?>
<worksheet xmlns="http://schemas.openxmlformats.org/spreadsheetml/2006/main" xmlns:r="http://schemas.openxmlformats.org/officeDocument/2006/relationships">
  <sheetPr codeName="Лист12">
    <tabColor rgb="FF00B050"/>
    <pageSetUpPr fitToPage="1"/>
  </sheetPr>
  <dimension ref="B1:M80"/>
  <sheetViews>
    <sheetView view="pageBreakPreview" zoomScale="110" zoomScaleSheetLayoutView="110" workbookViewId="0">
      <selection activeCell="H13" sqref="H13"/>
    </sheetView>
  </sheetViews>
  <sheetFormatPr defaultRowHeight="15"/>
  <cols>
    <col min="1" max="1" width="0.42578125" style="1" customWidth="1"/>
    <col min="2" max="2" width="53.28515625" style="49" customWidth="1"/>
    <col min="3" max="3" width="8.7109375" style="74" customWidth="1"/>
    <col min="4" max="4" width="8.85546875" style="74" customWidth="1"/>
    <col min="5" max="5" width="10.28515625" style="2" bestFit="1" customWidth="1"/>
    <col min="6" max="6" width="10.140625" style="2" bestFit="1" customWidth="1"/>
    <col min="7" max="7" width="9.140625" style="2"/>
    <col min="8" max="8" width="10.28515625" style="2" customWidth="1"/>
    <col min="9" max="9" width="9.85546875" style="81" customWidth="1"/>
    <col min="10" max="10" width="3.140625" style="65" hidden="1" customWidth="1"/>
    <col min="11" max="11" width="0.140625" style="46" hidden="1" customWidth="1"/>
    <col min="12" max="12" width="10.140625" style="76" hidden="1" customWidth="1"/>
    <col min="13" max="13" width="9.140625" style="1" hidden="1" customWidth="1"/>
    <col min="14" max="16384" width="9.140625" style="1"/>
  </cols>
  <sheetData>
    <row r="1" spans="2:12" ht="0.75" customHeight="1">
      <c r="B1" s="82"/>
      <c r="C1" s="83"/>
      <c r="D1" s="83"/>
      <c r="E1" s="84"/>
      <c r="F1" s="84"/>
      <c r="G1" s="84"/>
      <c r="H1" s="84"/>
      <c r="I1" s="84"/>
    </row>
    <row r="2" spans="2:12" ht="15.75" thickBot="1">
      <c r="B2" s="82" t="s">
        <v>871</v>
      </c>
      <c r="C2" s="83"/>
      <c r="D2" s="83"/>
      <c r="E2" s="84"/>
      <c r="F2" s="84"/>
      <c r="G2" s="84"/>
      <c r="H2" s="84"/>
      <c r="I2" s="84"/>
    </row>
    <row r="3" spans="2:12" s="40" customFormat="1" ht="18" customHeight="1" thickBot="1">
      <c r="B3" s="1618" t="s">
        <v>464</v>
      </c>
      <c r="C3" s="1632" t="s">
        <v>348</v>
      </c>
      <c r="D3" s="1632" t="s">
        <v>350</v>
      </c>
      <c r="E3" s="1648" t="s">
        <v>349</v>
      </c>
      <c r="F3" s="1663" t="s">
        <v>351</v>
      </c>
      <c r="G3" s="1663"/>
      <c r="H3" s="1663"/>
      <c r="I3" s="1672"/>
      <c r="J3" s="70"/>
      <c r="K3" s="1664" t="s">
        <v>371</v>
      </c>
      <c r="L3" s="1665" t="s">
        <v>463</v>
      </c>
    </row>
    <row r="4" spans="2:12" s="40" customFormat="1" ht="18" thickBot="1">
      <c r="B4" s="1619"/>
      <c r="C4" s="1683"/>
      <c r="D4" s="1683"/>
      <c r="E4" s="1649"/>
      <c r="F4" s="1680" t="s">
        <v>38</v>
      </c>
      <c r="G4" s="1680"/>
      <c r="H4" s="1680"/>
      <c r="I4" s="1681"/>
      <c r="J4" s="70"/>
      <c r="K4" s="1664"/>
      <c r="L4" s="1665"/>
    </row>
    <row r="5" spans="2:12" s="40" customFormat="1" ht="18" thickBot="1">
      <c r="B5" s="1620"/>
      <c r="C5" s="1684"/>
      <c r="D5" s="1684"/>
      <c r="E5" s="1650"/>
      <c r="F5" s="114" t="s">
        <v>101</v>
      </c>
      <c r="G5" s="75" t="s">
        <v>102</v>
      </c>
      <c r="H5" s="254" t="s">
        <v>103</v>
      </c>
      <c r="I5" s="255" t="s">
        <v>104</v>
      </c>
      <c r="J5" s="70"/>
      <c r="K5" s="1664"/>
      <c r="L5" s="1665"/>
    </row>
    <row r="6" spans="2:12" ht="15.75" thickBot="1">
      <c r="B6" s="1677" t="s">
        <v>346</v>
      </c>
      <c r="C6" s="1678"/>
      <c r="D6" s="1678"/>
      <c r="E6" s="1678"/>
      <c r="F6" s="1670"/>
      <c r="G6" s="1670"/>
      <c r="H6" s="1670"/>
      <c r="I6" s="1679"/>
    </row>
    <row r="7" spans="2:12" s="64" customFormat="1">
      <c r="B7" s="115" t="s">
        <v>356</v>
      </c>
      <c r="C7" s="71" t="s">
        <v>123</v>
      </c>
      <c r="D7" s="128" t="s">
        <v>365</v>
      </c>
      <c r="E7" s="135">
        <f>K7*1.25</f>
        <v>471.8175</v>
      </c>
      <c r="F7" s="111">
        <f>K7*1.2</f>
        <v>452.94479999999999</v>
      </c>
      <c r="G7" s="112">
        <f>(K7)*1.15</f>
        <v>434.07209999999998</v>
      </c>
      <c r="H7" s="113">
        <f>(K7)*1.1</f>
        <v>415.19940000000003</v>
      </c>
      <c r="I7" s="107">
        <f>(K7)*1.05</f>
        <v>396.32670000000002</v>
      </c>
      <c r="J7" s="66"/>
      <c r="K7" s="69">
        <f>L7*1.1</f>
        <v>377.45400000000001</v>
      </c>
      <c r="L7" s="77">
        <f>301*1.14</f>
        <v>343.14</v>
      </c>
    </row>
    <row r="8" spans="2:12" s="64" customFormat="1">
      <c r="B8" s="116" t="s">
        <v>357</v>
      </c>
      <c r="C8" s="71" t="s">
        <v>123</v>
      </c>
      <c r="D8" s="128" t="s">
        <v>366</v>
      </c>
      <c r="E8" s="136">
        <f t="shared" ref="E8:E16" si="0">K8*1.25</f>
        <v>395.01</v>
      </c>
      <c r="F8" s="67">
        <f t="shared" ref="F8:F16" si="1">K8*1.2</f>
        <v>379.20959999999997</v>
      </c>
      <c r="G8" s="68">
        <f t="shared" ref="G8:G16" si="2">(K8)*1.15</f>
        <v>363.40919999999994</v>
      </c>
      <c r="H8" s="80">
        <f t="shared" ref="H8:H16" si="3">(K8)*1.1</f>
        <v>347.60880000000003</v>
      </c>
      <c r="I8" s="108">
        <f t="shared" ref="I8:I16" si="4">(K8)*1.05</f>
        <v>331.80840000000001</v>
      </c>
      <c r="J8" s="66"/>
      <c r="K8" s="69">
        <f t="shared" ref="K8:K19" si="5">L8*1.1</f>
        <v>316.00799999999998</v>
      </c>
      <c r="L8" s="77">
        <f>252*1.14</f>
        <v>287.27999999999997</v>
      </c>
    </row>
    <row r="9" spans="2:12" s="64" customFormat="1">
      <c r="B9" s="116" t="s">
        <v>358</v>
      </c>
      <c r="C9" s="72" t="s">
        <v>123</v>
      </c>
      <c r="D9" s="129" t="s">
        <v>367</v>
      </c>
      <c r="E9" s="136">
        <f t="shared" si="0"/>
        <v>337.01249999999993</v>
      </c>
      <c r="F9" s="67">
        <f t="shared" si="1"/>
        <v>323.53199999999993</v>
      </c>
      <c r="G9" s="68">
        <f t="shared" si="2"/>
        <v>310.05149999999992</v>
      </c>
      <c r="H9" s="80">
        <f t="shared" si="3"/>
        <v>296.57099999999997</v>
      </c>
      <c r="I9" s="108">
        <f t="shared" si="4"/>
        <v>283.09049999999996</v>
      </c>
      <c r="J9" s="66"/>
      <c r="K9" s="69">
        <f t="shared" si="5"/>
        <v>269.60999999999996</v>
      </c>
      <c r="L9" s="77">
        <f>215*1.14</f>
        <v>245.09999999999997</v>
      </c>
    </row>
    <row r="10" spans="2:12" s="64" customFormat="1">
      <c r="B10" s="116" t="s">
        <v>359</v>
      </c>
      <c r="C10" s="73" t="s">
        <v>123</v>
      </c>
      <c r="D10" s="130" t="s">
        <v>366</v>
      </c>
      <c r="E10" s="136">
        <f t="shared" si="0"/>
        <v>335.44499999999999</v>
      </c>
      <c r="F10" s="67">
        <f t="shared" si="1"/>
        <v>322.02719999999999</v>
      </c>
      <c r="G10" s="68">
        <f t="shared" si="2"/>
        <v>308.60939999999999</v>
      </c>
      <c r="H10" s="80">
        <f t="shared" si="3"/>
        <v>295.19159999999999</v>
      </c>
      <c r="I10" s="108">
        <f t="shared" si="4"/>
        <v>281.77379999999999</v>
      </c>
      <c r="J10" s="66"/>
      <c r="K10" s="69">
        <f t="shared" si="5"/>
        <v>268.35599999999999</v>
      </c>
      <c r="L10" s="77">
        <f>214*1.14</f>
        <v>243.95999999999998</v>
      </c>
    </row>
    <row r="11" spans="2:12" s="64" customFormat="1">
      <c r="B11" s="116" t="s">
        <v>360</v>
      </c>
      <c r="C11" s="72" t="s">
        <v>123</v>
      </c>
      <c r="D11" s="129" t="s">
        <v>368</v>
      </c>
      <c r="E11" s="136">
        <f t="shared" si="0"/>
        <v>526.67999999999995</v>
      </c>
      <c r="F11" s="67">
        <f t="shared" si="1"/>
        <v>505.61279999999999</v>
      </c>
      <c r="G11" s="68">
        <f t="shared" si="2"/>
        <v>484.54559999999998</v>
      </c>
      <c r="H11" s="80">
        <f t="shared" si="3"/>
        <v>463.47840000000002</v>
      </c>
      <c r="I11" s="108">
        <f t="shared" si="4"/>
        <v>442.41120000000001</v>
      </c>
      <c r="J11" s="66"/>
      <c r="K11" s="69">
        <f t="shared" si="5"/>
        <v>421.34399999999999</v>
      </c>
      <c r="L11" s="77">
        <f>336*1.14</f>
        <v>383.03999999999996</v>
      </c>
    </row>
    <row r="12" spans="2:12" s="64" customFormat="1">
      <c r="B12" s="116" t="s">
        <v>361</v>
      </c>
      <c r="C12" s="73" t="s">
        <v>123</v>
      </c>
      <c r="D12" s="130" t="s">
        <v>369</v>
      </c>
      <c r="E12" s="136">
        <f t="shared" si="0"/>
        <v>431.0625</v>
      </c>
      <c r="F12" s="67">
        <f t="shared" si="1"/>
        <v>413.82</v>
      </c>
      <c r="G12" s="68">
        <f t="shared" si="2"/>
        <v>396.57749999999999</v>
      </c>
      <c r="H12" s="80">
        <f t="shared" si="3"/>
        <v>379.33500000000004</v>
      </c>
      <c r="I12" s="108">
        <f t="shared" si="4"/>
        <v>362.09250000000003</v>
      </c>
      <c r="J12" s="66"/>
      <c r="K12" s="69">
        <f t="shared" si="5"/>
        <v>344.85</v>
      </c>
      <c r="L12" s="77">
        <f>275*1.14</f>
        <v>313.5</v>
      </c>
    </row>
    <row r="13" spans="2:12" s="64" customFormat="1">
      <c r="B13" s="116" t="s">
        <v>362</v>
      </c>
      <c r="C13" s="72" t="s">
        <v>123</v>
      </c>
      <c r="D13" s="129" t="s">
        <v>369</v>
      </c>
      <c r="E13" s="136">
        <f t="shared" si="0"/>
        <v>384.82124999999996</v>
      </c>
      <c r="F13" s="67">
        <f t="shared" si="1"/>
        <v>369.42839999999995</v>
      </c>
      <c r="G13" s="68">
        <f t="shared" si="2"/>
        <v>354.03554999999994</v>
      </c>
      <c r="H13" s="80">
        <f t="shared" si="3"/>
        <v>338.64269999999999</v>
      </c>
      <c r="I13" s="108">
        <f t="shared" si="4"/>
        <v>323.24984999999998</v>
      </c>
      <c r="J13" s="66"/>
      <c r="K13" s="69">
        <f t="shared" si="5"/>
        <v>307.85699999999997</v>
      </c>
      <c r="L13" s="77">
        <f>245.5*1.14</f>
        <v>279.86999999999995</v>
      </c>
    </row>
    <row r="14" spans="2:12" s="64" customFormat="1">
      <c r="B14" s="116" t="s">
        <v>363</v>
      </c>
      <c r="C14" s="73" t="s">
        <v>90</v>
      </c>
      <c r="D14" s="130" t="s">
        <v>370</v>
      </c>
      <c r="E14" s="136">
        <f t="shared" si="0"/>
        <v>442.03499999999997</v>
      </c>
      <c r="F14" s="67">
        <f t="shared" si="1"/>
        <v>424.35359999999997</v>
      </c>
      <c r="G14" s="68">
        <f t="shared" si="2"/>
        <v>406.67219999999998</v>
      </c>
      <c r="H14" s="80">
        <f t="shared" si="3"/>
        <v>388.99080000000004</v>
      </c>
      <c r="I14" s="108">
        <f t="shared" si="4"/>
        <v>371.30939999999998</v>
      </c>
      <c r="J14" s="66"/>
      <c r="K14" s="69">
        <f t="shared" si="5"/>
        <v>353.62799999999999</v>
      </c>
      <c r="L14" s="77">
        <f>282*1.14</f>
        <v>321.47999999999996</v>
      </c>
    </row>
    <row r="15" spans="2:12" s="64" customFormat="1">
      <c r="B15" s="116" t="s">
        <v>364</v>
      </c>
      <c r="C15" s="72" t="s">
        <v>90</v>
      </c>
      <c r="D15" s="129" t="s">
        <v>368</v>
      </c>
      <c r="E15" s="136">
        <f t="shared" si="0"/>
        <v>393.4425</v>
      </c>
      <c r="F15" s="67">
        <f t="shared" si="1"/>
        <v>377.70480000000003</v>
      </c>
      <c r="G15" s="68">
        <f t="shared" si="2"/>
        <v>361.96710000000002</v>
      </c>
      <c r="H15" s="80">
        <f t="shared" si="3"/>
        <v>346.22940000000006</v>
      </c>
      <c r="I15" s="108">
        <f t="shared" si="4"/>
        <v>330.49170000000004</v>
      </c>
      <c r="J15" s="66"/>
      <c r="K15" s="69">
        <f t="shared" si="5"/>
        <v>314.75400000000002</v>
      </c>
      <c r="L15" s="77">
        <f>251*1.14</f>
        <v>286.14</v>
      </c>
    </row>
    <row r="16" spans="2:12" s="64" customFormat="1" ht="15.75" thickBot="1">
      <c r="B16" s="116" t="s">
        <v>352</v>
      </c>
      <c r="C16" s="72" t="s">
        <v>121</v>
      </c>
      <c r="D16" s="129" t="s">
        <v>92</v>
      </c>
      <c r="E16" s="136">
        <f t="shared" si="0"/>
        <v>421.65749999999997</v>
      </c>
      <c r="F16" s="67">
        <f t="shared" si="1"/>
        <v>404.79119999999995</v>
      </c>
      <c r="G16" s="68">
        <f t="shared" si="2"/>
        <v>387.92489999999992</v>
      </c>
      <c r="H16" s="80">
        <f t="shared" si="3"/>
        <v>371.05860000000001</v>
      </c>
      <c r="I16" s="108">
        <f t="shared" si="4"/>
        <v>354.19229999999999</v>
      </c>
      <c r="J16" s="66"/>
      <c r="K16" s="69">
        <f t="shared" si="5"/>
        <v>337.32599999999996</v>
      </c>
      <c r="L16" s="77">
        <f>269*1.14</f>
        <v>306.65999999999997</v>
      </c>
    </row>
    <row r="17" spans="2:12" s="64" customFormat="1" ht="15.75" thickBot="1">
      <c r="B17" s="1677" t="s">
        <v>347</v>
      </c>
      <c r="C17" s="1678"/>
      <c r="D17" s="1678"/>
      <c r="E17" s="1678"/>
      <c r="F17" s="1678"/>
      <c r="G17" s="1678"/>
      <c r="H17" s="1678"/>
      <c r="I17" s="1682"/>
      <c r="J17" s="66"/>
      <c r="K17" s="69"/>
      <c r="L17" s="77"/>
    </row>
    <row r="18" spans="2:12" s="64" customFormat="1">
      <c r="B18" s="115" t="s">
        <v>353</v>
      </c>
      <c r="C18" s="229" t="s">
        <v>90</v>
      </c>
      <c r="D18" s="251" t="s">
        <v>111</v>
      </c>
      <c r="E18" s="135">
        <f>K18*1.25</f>
        <v>667.75500000000011</v>
      </c>
      <c r="F18" s="111">
        <f>K18*1.2</f>
        <v>641.04480000000001</v>
      </c>
      <c r="G18" s="112">
        <f>(K18)*1.15</f>
        <v>614.33460000000002</v>
      </c>
      <c r="H18" s="113">
        <f>(K18)*1.1</f>
        <v>587.62440000000015</v>
      </c>
      <c r="I18" s="107">
        <f>(K18)*1.03</f>
        <v>550.23012000000006</v>
      </c>
      <c r="J18" s="66"/>
      <c r="K18" s="69">
        <f t="shared" si="5"/>
        <v>534.20400000000006</v>
      </c>
      <c r="L18" s="77">
        <f>426*1.14</f>
        <v>485.64</v>
      </c>
    </row>
    <row r="19" spans="2:12" s="64" customFormat="1" ht="15.75" thickBot="1">
      <c r="B19" s="117" t="s">
        <v>354</v>
      </c>
      <c r="C19" s="253" t="s">
        <v>355</v>
      </c>
      <c r="D19" s="252" t="s">
        <v>111</v>
      </c>
      <c r="E19" s="141">
        <f>K19*1.25</f>
        <v>631.70249999999999</v>
      </c>
      <c r="F19" s="102">
        <f>K19*1.2</f>
        <v>606.43439999999998</v>
      </c>
      <c r="G19" s="103">
        <f>(K19)*1.15</f>
        <v>581.16629999999998</v>
      </c>
      <c r="H19" s="104">
        <f>(K19)*1.1</f>
        <v>555.89820000000009</v>
      </c>
      <c r="I19" s="109">
        <f>(K19)*1.03</f>
        <v>520.52286000000004</v>
      </c>
      <c r="J19" s="66"/>
      <c r="K19" s="69">
        <f t="shared" si="5"/>
        <v>505.36200000000002</v>
      </c>
      <c r="L19" s="77">
        <f>403*1.14</f>
        <v>459.41999999999996</v>
      </c>
    </row>
    <row r="20" spans="2:12" ht="15.75" thickBot="1">
      <c r="B20" s="1677" t="s">
        <v>462</v>
      </c>
      <c r="C20" s="1678"/>
      <c r="D20" s="1678"/>
      <c r="E20" s="1678"/>
      <c r="F20" s="1670"/>
      <c r="G20" s="1670"/>
      <c r="H20" s="1670"/>
      <c r="I20" s="1679"/>
    </row>
    <row r="21" spans="2:12" s="64" customFormat="1">
      <c r="B21" s="115" t="s">
        <v>465</v>
      </c>
      <c r="C21" s="126" t="s">
        <v>90</v>
      </c>
      <c r="D21" s="133" t="s">
        <v>121</v>
      </c>
      <c r="E21" s="135">
        <f>K21*1.25</f>
        <v>480.51249999999993</v>
      </c>
      <c r="F21" s="111">
        <f>K21*1.2</f>
        <v>461.29199999999992</v>
      </c>
      <c r="G21" s="112">
        <f>(K21)*1.15</f>
        <v>442.0714999999999</v>
      </c>
      <c r="H21" s="113">
        <f>(K21)*1.1</f>
        <v>422.851</v>
      </c>
      <c r="I21" s="107">
        <f>(K21)*1.05</f>
        <v>403.63049999999998</v>
      </c>
      <c r="J21" s="66"/>
      <c r="K21" s="69">
        <f>(L21+35)</f>
        <v>384.40999999999997</v>
      </c>
      <c r="L21" s="77">
        <f>306.5*1.14</f>
        <v>349.40999999999997</v>
      </c>
    </row>
    <row r="22" spans="2:12" s="64" customFormat="1">
      <c r="B22" s="116" t="s">
        <v>466</v>
      </c>
      <c r="C22" s="71" t="s">
        <v>90</v>
      </c>
      <c r="D22" s="128" t="s">
        <v>106</v>
      </c>
      <c r="E22" s="136">
        <f t="shared" ref="E22:E33" si="6">K22*1.25</f>
        <v>506.87499999999994</v>
      </c>
      <c r="F22" s="67">
        <f t="shared" ref="F22:F33" si="7">K22*1.2</f>
        <v>486.59999999999991</v>
      </c>
      <c r="G22" s="68">
        <f t="shared" ref="G22:G33" si="8">(K22)*1.15</f>
        <v>466.32499999999987</v>
      </c>
      <c r="H22" s="80">
        <f t="shared" ref="H22:H33" si="9">(K22)*1.1</f>
        <v>446.04999999999995</v>
      </c>
      <c r="I22" s="108">
        <f t="shared" ref="I22:I33" si="10">(K22)*1.05</f>
        <v>425.77499999999998</v>
      </c>
      <c r="J22" s="66"/>
      <c r="K22" s="69">
        <f t="shared" ref="K22:K52" si="11">(L22+35)</f>
        <v>405.49999999999994</v>
      </c>
      <c r="L22" s="77">
        <f>325*1.14</f>
        <v>370.49999999999994</v>
      </c>
    </row>
    <row r="23" spans="2:12" s="64" customFormat="1">
      <c r="B23" s="116" t="s">
        <v>467</v>
      </c>
      <c r="C23" s="72" t="s">
        <v>90</v>
      </c>
      <c r="D23" s="129" t="s">
        <v>100</v>
      </c>
      <c r="E23" s="136">
        <f t="shared" si="6"/>
        <v>561.73749999999995</v>
      </c>
      <c r="F23" s="67">
        <f t="shared" si="7"/>
        <v>539.26799999999992</v>
      </c>
      <c r="G23" s="68">
        <f t="shared" si="8"/>
        <v>516.79849999999999</v>
      </c>
      <c r="H23" s="80">
        <f t="shared" si="9"/>
        <v>494.32900000000001</v>
      </c>
      <c r="I23" s="108">
        <f t="shared" si="10"/>
        <v>471.85950000000003</v>
      </c>
      <c r="J23" s="66"/>
      <c r="K23" s="69">
        <f t="shared" si="11"/>
        <v>449.39</v>
      </c>
      <c r="L23" s="77">
        <f>363.5*1.14</f>
        <v>414.39</v>
      </c>
    </row>
    <row r="24" spans="2:12" s="64" customFormat="1">
      <c r="B24" s="116" t="s">
        <v>468</v>
      </c>
      <c r="C24" s="73" t="s">
        <v>90</v>
      </c>
      <c r="D24" s="130" t="s">
        <v>121</v>
      </c>
      <c r="E24" s="136">
        <f t="shared" si="6"/>
        <v>585.25</v>
      </c>
      <c r="F24" s="67">
        <f t="shared" si="7"/>
        <v>561.83999999999992</v>
      </c>
      <c r="G24" s="68">
        <f t="shared" si="8"/>
        <v>538.42999999999995</v>
      </c>
      <c r="H24" s="80">
        <f t="shared" si="9"/>
        <v>515.02</v>
      </c>
      <c r="I24" s="108">
        <f t="shared" si="10"/>
        <v>491.61</v>
      </c>
      <c r="J24" s="66"/>
      <c r="K24" s="69">
        <f t="shared" si="11"/>
        <v>468.2</v>
      </c>
      <c r="L24" s="77">
        <f>380*1.14</f>
        <v>433.2</v>
      </c>
    </row>
    <row r="25" spans="2:12" s="64" customFormat="1">
      <c r="B25" s="116" t="s">
        <v>469</v>
      </c>
      <c r="C25" s="72" t="s">
        <v>90</v>
      </c>
      <c r="D25" s="129" t="s">
        <v>106</v>
      </c>
      <c r="E25" s="136">
        <f t="shared" si="6"/>
        <v>628</v>
      </c>
      <c r="F25" s="67">
        <f t="shared" si="7"/>
        <v>602.88</v>
      </c>
      <c r="G25" s="68">
        <f t="shared" si="8"/>
        <v>577.75999999999988</v>
      </c>
      <c r="H25" s="80">
        <f t="shared" si="9"/>
        <v>552.64</v>
      </c>
      <c r="I25" s="108">
        <f t="shared" si="10"/>
        <v>527.52</v>
      </c>
      <c r="J25" s="66"/>
      <c r="K25" s="69">
        <f t="shared" si="11"/>
        <v>502.4</v>
      </c>
      <c r="L25" s="77">
        <f>410*1.14</f>
        <v>467.4</v>
      </c>
    </row>
    <row r="26" spans="2:12" s="64" customFormat="1">
      <c r="B26" s="116" t="s">
        <v>470</v>
      </c>
      <c r="C26" s="73" t="s">
        <v>90</v>
      </c>
      <c r="D26" s="130" t="s">
        <v>100</v>
      </c>
      <c r="E26" s="136">
        <f t="shared" si="6"/>
        <v>676.44999999999993</v>
      </c>
      <c r="F26" s="67">
        <f t="shared" si="7"/>
        <v>649.39199999999994</v>
      </c>
      <c r="G26" s="68">
        <f t="shared" si="8"/>
        <v>622.33399999999995</v>
      </c>
      <c r="H26" s="80">
        <f t="shared" si="9"/>
        <v>595.27600000000007</v>
      </c>
      <c r="I26" s="108">
        <f t="shared" si="10"/>
        <v>568.21799999999996</v>
      </c>
      <c r="J26" s="66"/>
      <c r="K26" s="69">
        <f t="shared" si="11"/>
        <v>541.16</v>
      </c>
      <c r="L26" s="77">
        <f>444*1.14</f>
        <v>506.15999999999997</v>
      </c>
    </row>
    <row r="27" spans="2:12" s="64" customFormat="1">
      <c r="B27" s="116" t="s">
        <v>471</v>
      </c>
      <c r="C27" s="72" t="s">
        <v>123</v>
      </c>
      <c r="D27" s="129" t="s">
        <v>490</v>
      </c>
      <c r="E27" s="136">
        <f t="shared" si="6"/>
        <v>914.78124999999989</v>
      </c>
      <c r="F27" s="67">
        <f t="shared" si="7"/>
        <v>878.18999999999994</v>
      </c>
      <c r="G27" s="68">
        <f t="shared" si="8"/>
        <v>841.59874999999988</v>
      </c>
      <c r="H27" s="80">
        <f t="shared" si="9"/>
        <v>805.00749999999994</v>
      </c>
      <c r="I27" s="108">
        <f t="shared" si="10"/>
        <v>768.41624999999999</v>
      </c>
      <c r="J27" s="66"/>
      <c r="K27" s="69">
        <f t="shared" si="11"/>
        <v>731.82499999999993</v>
      </c>
      <c r="L27" s="77">
        <f>611.25*1.14</f>
        <v>696.82499999999993</v>
      </c>
    </row>
    <row r="28" spans="2:12" s="64" customFormat="1">
      <c r="B28" s="116" t="s">
        <v>472</v>
      </c>
      <c r="C28" s="73" t="s">
        <v>90</v>
      </c>
      <c r="D28" s="130" t="s">
        <v>118</v>
      </c>
      <c r="E28" s="136">
        <f t="shared" si="6"/>
        <v>716.34999999999991</v>
      </c>
      <c r="F28" s="67">
        <f t="shared" si="7"/>
        <v>687.69599999999991</v>
      </c>
      <c r="G28" s="68">
        <f t="shared" si="8"/>
        <v>659.04199999999992</v>
      </c>
      <c r="H28" s="80">
        <f t="shared" si="9"/>
        <v>630.38799999999992</v>
      </c>
      <c r="I28" s="108">
        <f t="shared" si="10"/>
        <v>601.73399999999992</v>
      </c>
      <c r="J28" s="66"/>
      <c r="K28" s="69">
        <f t="shared" si="11"/>
        <v>573.07999999999993</v>
      </c>
      <c r="L28" s="77">
        <f>472*1.14</f>
        <v>538.07999999999993</v>
      </c>
    </row>
    <row r="29" spans="2:12" s="64" customFormat="1">
      <c r="B29" s="116" t="s">
        <v>473</v>
      </c>
      <c r="C29" s="72" t="s">
        <v>123</v>
      </c>
      <c r="D29" s="129" t="s">
        <v>490</v>
      </c>
      <c r="E29" s="136">
        <f t="shared" si="6"/>
        <v>1124.2562499999999</v>
      </c>
      <c r="F29" s="67">
        <f t="shared" si="7"/>
        <v>1079.2859999999998</v>
      </c>
      <c r="G29" s="68">
        <f t="shared" si="8"/>
        <v>1034.31575</v>
      </c>
      <c r="H29" s="80">
        <f t="shared" si="9"/>
        <v>989.34550000000002</v>
      </c>
      <c r="I29" s="108">
        <f t="shared" si="10"/>
        <v>944.37525000000005</v>
      </c>
      <c r="J29" s="66"/>
      <c r="K29" s="69">
        <f t="shared" si="11"/>
        <v>899.40499999999997</v>
      </c>
      <c r="L29" s="77">
        <f>758.25*1.14</f>
        <v>864.40499999999997</v>
      </c>
    </row>
    <row r="30" spans="2:12" s="64" customFormat="1">
      <c r="B30" s="116" t="s">
        <v>474</v>
      </c>
      <c r="C30" s="72" t="s">
        <v>123</v>
      </c>
      <c r="D30" s="129" t="s">
        <v>490</v>
      </c>
      <c r="E30" s="136">
        <f t="shared" si="6"/>
        <v>1038.6849999999999</v>
      </c>
      <c r="F30" s="67">
        <f t="shared" si="7"/>
        <v>997.13759999999991</v>
      </c>
      <c r="G30" s="68">
        <f t="shared" si="8"/>
        <v>955.59019999999987</v>
      </c>
      <c r="H30" s="80">
        <f t="shared" si="9"/>
        <v>914.04280000000006</v>
      </c>
      <c r="I30" s="108">
        <f t="shared" si="10"/>
        <v>872.49540000000002</v>
      </c>
      <c r="J30" s="66"/>
      <c r="K30" s="69">
        <f t="shared" si="11"/>
        <v>830.94799999999998</v>
      </c>
      <c r="L30" s="77">
        <f>698.2*1.14</f>
        <v>795.94799999999998</v>
      </c>
    </row>
    <row r="31" spans="2:12" s="64" customFormat="1">
      <c r="B31" s="116" t="s">
        <v>475</v>
      </c>
      <c r="C31" s="72" t="s">
        <v>90</v>
      </c>
      <c r="D31" s="129" t="s">
        <v>118</v>
      </c>
      <c r="E31" s="136">
        <f t="shared" si="6"/>
        <v>905.87499999999989</v>
      </c>
      <c r="F31" s="67">
        <f t="shared" si="7"/>
        <v>869.63999999999987</v>
      </c>
      <c r="G31" s="68">
        <f t="shared" si="8"/>
        <v>833.40499999999986</v>
      </c>
      <c r="H31" s="80">
        <f t="shared" si="9"/>
        <v>797.17</v>
      </c>
      <c r="I31" s="108">
        <f t="shared" si="10"/>
        <v>760.93499999999995</v>
      </c>
      <c r="J31" s="66"/>
      <c r="K31" s="69">
        <f t="shared" si="11"/>
        <v>724.69999999999993</v>
      </c>
      <c r="L31" s="77">
        <f>605*1.14</f>
        <v>689.69999999999993</v>
      </c>
    </row>
    <row r="32" spans="2:12" s="64" customFormat="1">
      <c r="B32" s="116" t="s">
        <v>476</v>
      </c>
      <c r="C32" s="72" t="s">
        <v>90</v>
      </c>
      <c r="D32" s="129" t="s">
        <v>118</v>
      </c>
      <c r="E32" s="136">
        <f t="shared" si="6"/>
        <v>820.375</v>
      </c>
      <c r="F32" s="67">
        <f t="shared" si="7"/>
        <v>787.56</v>
      </c>
      <c r="G32" s="68">
        <f t="shared" si="8"/>
        <v>754.74499999999989</v>
      </c>
      <c r="H32" s="80">
        <f t="shared" si="9"/>
        <v>721.93000000000006</v>
      </c>
      <c r="I32" s="108">
        <f t="shared" si="10"/>
        <v>689.11500000000001</v>
      </c>
      <c r="J32" s="66"/>
      <c r="K32" s="69">
        <f t="shared" si="11"/>
        <v>656.3</v>
      </c>
      <c r="L32" s="77">
        <f>545*1.14</f>
        <v>621.29999999999995</v>
      </c>
    </row>
    <row r="33" spans="2:12" s="64" customFormat="1">
      <c r="B33" s="116" t="s">
        <v>477</v>
      </c>
      <c r="C33" s="72" t="s">
        <v>90</v>
      </c>
      <c r="D33" s="129" t="s">
        <v>491</v>
      </c>
      <c r="E33" s="136">
        <f t="shared" si="6"/>
        <v>789.02499999999986</v>
      </c>
      <c r="F33" s="67">
        <f t="shared" si="7"/>
        <v>757.46399999999983</v>
      </c>
      <c r="G33" s="68">
        <f t="shared" si="8"/>
        <v>725.90299999999979</v>
      </c>
      <c r="H33" s="80">
        <f t="shared" si="9"/>
        <v>694.34199999999998</v>
      </c>
      <c r="I33" s="108">
        <f t="shared" si="10"/>
        <v>662.78099999999995</v>
      </c>
      <c r="J33" s="66"/>
      <c r="K33" s="69">
        <f t="shared" si="11"/>
        <v>631.21999999999991</v>
      </c>
      <c r="L33" s="77">
        <f>523*1.14</f>
        <v>596.21999999999991</v>
      </c>
    </row>
    <row r="34" spans="2:12" s="64" customFormat="1">
      <c r="B34" s="116" t="s">
        <v>478</v>
      </c>
      <c r="C34" s="72" t="s">
        <v>90</v>
      </c>
      <c r="D34" s="129" t="s">
        <v>491</v>
      </c>
      <c r="E34" s="136">
        <f t="shared" ref="E34" si="12">K34*1.25</f>
        <v>874.52499999999986</v>
      </c>
      <c r="F34" s="67">
        <f t="shared" ref="F34" si="13">K34*1.2</f>
        <v>839.54399999999987</v>
      </c>
      <c r="G34" s="68">
        <f t="shared" ref="G34" si="14">(K34)*1.15</f>
        <v>804.56299999999976</v>
      </c>
      <c r="H34" s="80">
        <f t="shared" ref="H34" si="15">(K34)*1.1</f>
        <v>769.58199999999999</v>
      </c>
      <c r="I34" s="108">
        <f t="shared" ref="I34" si="16">(K34)*1.05</f>
        <v>734.60099999999989</v>
      </c>
      <c r="J34" s="66"/>
      <c r="K34" s="69">
        <f t="shared" si="11"/>
        <v>699.61999999999989</v>
      </c>
      <c r="L34" s="77">
        <f>583*1.14</f>
        <v>664.61999999999989</v>
      </c>
    </row>
    <row r="35" spans="2:12" s="64" customFormat="1">
      <c r="B35" s="116" t="s">
        <v>479</v>
      </c>
      <c r="C35" s="72" t="s">
        <v>90</v>
      </c>
      <c r="D35" s="129" t="s">
        <v>242</v>
      </c>
      <c r="E35" s="136">
        <f t="shared" ref="E35:E36" si="17">K35*1.25</f>
        <v>836.76249999999993</v>
      </c>
      <c r="F35" s="67">
        <f t="shared" ref="F35:F36" si="18">K35*1.2</f>
        <v>803.29199999999992</v>
      </c>
      <c r="G35" s="68">
        <f t="shared" ref="G35:G36" si="19">(K35)*1.15</f>
        <v>769.8214999999999</v>
      </c>
      <c r="H35" s="80">
        <f t="shared" ref="H35:H36" si="20">(K35)*1.1</f>
        <v>736.351</v>
      </c>
      <c r="I35" s="108">
        <f t="shared" ref="I35:I36" si="21">(K35)*1.05</f>
        <v>702.88049999999998</v>
      </c>
      <c r="J35" s="66"/>
      <c r="K35" s="69">
        <f t="shared" si="11"/>
        <v>669.41</v>
      </c>
      <c r="L35" s="77">
        <f>556.5*1.14</f>
        <v>634.41</v>
      </c>
    </row>
    <row r="36" spans="2:12" s="64" customFormat="1" ht="15.75" thickBot="1">
      <c r="B36" s="117" t="s">
        <v>480</v>
      </c>
      <c r="C36" s="127" t="s">
        <v>90</v>
      </c>
      <c r="D36" s="134" t="s">
        <v>242</v>
      </c>
      <c r="E36" s="141">
        <f t="shared" si="17"/>
        <v>936.51249999999993</v>
      </c>
      <c r="F36" s="102">
        <f t="shared" si="18"/>
        <v>899.05199999999991</v>
      </c>
      <c r="G36" s="103">
        <f t="shared" si="19"/>
        <v>861.59149999999988</v>
      </c>
      <c r="H36" s="104">
        <f t="shared" si="20"/>
        <v>824.13099999999997</v>
      </c>
      <c r="I36" s="109">
        <f t="shared" si="21"/>
        <v>786.67049999999995</v>
      </c>
      <c r="J36" s="66"/>
      <c r="K36" s="69">
        <f t="shared" si="11"/>
        <v>749.20999999999992</v>
      </c>
      <c r="L36" s="77">
        <f>626.5*1.14</f>
        <v>714.20999999999992</v>
      </c>
    </row>
    <row r="37" spans="2:12" ht="15.75" thickBot="1">
      <c r="B37" s="1677" t="s">
        <v>481</v>
      </c>
      <c r="C37" s="1678"/>
      <c r="D37" s="1678"/>
      <c r="E37" s="1678"/>
      <c r="F37" s="1670"/>
      <c r="G37" s="1670"/>
      <c r="H37" s="1670"/>
      <c r="I37" s="1679"/>
      <c r="K37" s="69"/>
    </row>
    <row r="38" spans="2:12" s="64" customFormat="1">
      <c r="B38" s="115" t="s">
        <v>471</v>
      </c>
      <c r="C38" s="126" t="s">
        <v>123</v>
      </c>
      <c r="D38" s="133" t="s">
        <v>490</v>
      </c>
      <c r="E38" s="135">
        <f>K38*1.25</f>
        <v>1228.9937499999999</v>
      </c>
      <c r="F38" s="111">
        <f>K38*1.2</f>
        <v>1179.8339999999998</v>
      </c>
      <c r="G38" s="112">
        <f>(K38)*1.15</f>
        <v>1130.6742499999998</v>
      </c>
      <c r="H38" s="113">
        <f>(K38)*1.1</f>
        <v>1081.5145</v>
      </c>
      <c r="I38" s="107">
        <f>(K38)*1.05</f>
        <v>1032.35475</v>
      </c>
      <c r="J38" s="66"/>
      <c r="K38" s="69">
        <f t="shared" si="11"/>
        <v>983.19499999999994</v>
      </c>
      <c r="L38" s="77">
        <f>831.75*1.14</f>
        <v>948.19499999999994</v>
      </c>
    </row>
    <row r="39" spans="2:12" s="64" customFormat="1">
      <c r="B39" s="116" t="s">
        <v>472</v>
      </c>
      <c r="C39" s="71" t="s">
        <v>90</v>
      </c>
      <c r="D39" s="128" t="s">
        <v>118</v>
      </c>
      <c r="E39" s="136">
        <f t="shared" ref="E39:E52" si="22">K39*1.25</f>
        <v>890.91249999999991</v>
      </c>
      <c r="F39" s="67">
        <f t="shared" ref="F39:F52" si="23">K39*1.2</f>
        <v>855.27599999999984</v>
      </c>
      <c r="G39" s="68">
        <f t="shared" ref="G39:G52" si="24">(K39)*1.15</f>
        <v>819.63949999999977</v>
      </c>
      <c r="H39" s="80">
        <f t="shared" ref="H39:H52" si="25">(K39)*1.1</f>
        <v>784.00299999999993</v>
      </c>
      <c r="I39" s="108">
        <f t="shared" ref="I39:I52" si="26">(K39)*1.05</f>
        <v>748.36649999999997</v>
      </c>
      <c r="J39" s="66"/>
      <c r="K39" s="69">
        <f t="shared" si="11"/>
        <v>712.7299999999999</v>
      </c>
      <c r="L39" s="77">
        <f>594.5*1.14</f>
        <v>677.7299999999999</v>
      </c>
    </row>
    <row r="40" spans="2:12" s="64" customFormat="1">
      <c r="B40" s="116" t="s">
        <v>482</v>
      </c>
      <c r="C40" s="72" t="s">
        <v>90</v>
      </c>
      <c r="D40" s="129" t="s">
        <v>118</v>
      </c>
      <c r="E40" s="136">
        <f t="shared" si="22"/>
        <v>956.46249999999998</v>
      </c>
      <c r="F40" s="67">
        <f t="shared" si="23"/>
        <v>918.20399999999995</v>
      </c>
      <c r="G40" s="68">
        <f t="shared" si="24"/>
        <v>879.94549999999992</v>
      </c>
      <c r="H40" s="80">
        <f t="shared" si="25"/>
        <v>841.68700000000001</v>
      </c>
      <c r="I40" s="108">
        <f t="shared" si="26"/>
        <v>803.42849999999999</v>
      </c>
      <c r="J40" s="66"/>
      <c r="K40" s="69">
        <f t="shared" si="11"/>
        <v>765.17</v>
      </c>
      <c r="L40" s="77">
        <f>640.5*1.14</f>
        <v>730.17</v>
      </c>
    </row>
    <row r="41" spans="2:12" s="64" customFormat="1">
      <c r="B41" s="116" t="s">
        <v>473</v>
      </c>
      <c r="C41" s="73" t="s">
        <v>123</v>
      </c>
      <c r="D41" s="130" t="s">
        <v>490</v>
      </c>
      <c r="E41" s="136">
        <f t="shared" si="22"/>
        <v>1507.9375</v>
      </c>
      <c r="F41" s="67">
        <f t="shared" si="23"/>
        <v>1447.62</v>
      </c>
      <c r="G41" s="68">
        <f t="shared" si="24"/>
        <v>1387.3024999999998</v>
      </c>
      <c r="H41" s="80">
        <f t="shared" si="25"/>
        <v>1326.9849999999999</v>
      </c>
      <c r="I41" s="108">
        <f t="shared" si="26"/>
        <v>1266.6675</v>
      </c>
      <c r="J41" s="66"/>
      <c r="K41" s="69">
        <f t="shared" si="11"/>
        <v>1206.3499999999999</v>
      </c>
      <c r="L41" s="77">
        <f>1027.5*1.14</f>
        <v>1171.3499999999999</v>
      </c>
    </row>
    <row r="42" spans="2:12" s="64" customFormat="1">
      <c r="B42" s="116" t="s">
        <v>474</v>
      </c>
      <c r="C42" s="72" t="s">
        <v>123</v>
      </c>
      <c r="D42" s="129" t="s">
        <v>490</v>
      </c>
      <c r="E42" s="136">
        <f t="shared" si="22"/>
        <v>1587.0249999999999</v>
      </c>
      <c r="F42" s="67">
        <f t="shared" si="23"/>
        <v>1523.5439999999999</v>
      </c>
      <c r="G42" s="68">
        <f t="shared" si="24"/>
        <v>1460.0629999999999</v>
      </c>
      <c r="H42" s="80">
        <f t="shared" si="25"/>
        <v>1396.5819999999999</v>
      </c>
      <c r="I42" s="108">
        <f t="shared" si="26"/>
        <v>1333.1009999999999</v>
      </c>
      <c r="J42" s="66"/>
      <c r="K42" s="69">
        <f t="shared" si="11"/>
        <v>1269.6199999999999</v>
      </c>
      <c r="L42" s="77">
        <f>1083*1.14</f>
        <v>1234.6199999999999</v>
      </c>
    </row>
    <row r="43" spans="2:12" s="64" customFormat="1">
      <c r="B43" s="116" t="s">
        <v>483</v>
      </c>
      <c r="C43" s="73" t="s">
        <v>90</v>
      </c>
      <c r="D43" s="130" t="s">
        <v>118</v>
      </c>
      <c r="E43" s="136">
        <f t="shared" si="22"/>
        <v>1091.8374999999999</v>
      </c>
      <c r="F43" s="67">
        <f t="shared" si="23"/>
        <v>1048.1639999999998</v>
      </c>
      <c r="G43" s="68">
        <f t="shared" si="24"/>
        <v>1004.4904999999998</v>
      </c>
      <c r="H43" s="80">
        <f t="shared" si="25"/>
        <v>960.81700000000001</v>
      </c>
      <c r="I43" s="108">
        <f t="shared" si="26"/>
        <v>917.1434999999999</v>
      </c>
      <c r="J43" s="66"/>
      <c r="K43" s="69">
        <f t="shared" si="11"/>
        <v>873.46999999999991</v>
      </c>
      <c r="L43" s="77">
        <f>735.5*1.14</f>
        <v>838.46999999999991</v>
      </c>
    </row>
    <row r="44" spans="2:12" s="64" customFormat="1">
      <c r="B44" s="116" t="s">
        <v>484</v>
      </c>
      <c r="C44" s="72" t="s">
        <v>90</v>
      </c>
      <c r="D44" s="129" t="s">
        <v>118</v>
      </c>
      <c r="E44" s="136">
        <f t="shared" si="22"/>
        <v>1157.3875</v>
      </c>
      <c r="F44" s="67">
        <f t="shared" si="23"/>
        <v>1111.0919999999999</v>
      </c>
      <c r="G44" s="68">
        <f t="shared" si="24"/>
        <v>1064.7964999999999</v>
      </c>
      <c r="H44" s="80">
        <f t="shared" si="25"/>
        <v>1018.5010000000001</v>
      </c>
      <c r="I44" s="108">
        <f t="shared" si="26"/>
        <v>972.20550000000003</v>
      </c>
      <c r="J44" s="66"/>
      <c r="K44" s="69">
        <f t="shared" si="11"/>
        <v>925.91</v>
      </c>
      <c r="L44" s="77">
        <f>781.5*1.14</f>
        <v>890.91</v>
      </c>
    </row>
    <row r="45" spans="2:12" s="64" customFormat="1">
      <c r="B45" s="116" t="s">
        <v>485</v>
      </c>
      <c r="C45" s="73" t="s">
        <v>90</v>
      </c>
      <c r="D45" s="130" t="s">
        <v>118</v>
      </c>
      <c r="E45" s="136">
        <f t="shared" si="22"/>
        <v>1203.6999999999998</v>
      </c>
      <c r="F45" s="67">
        <f t="shared" si="23"/>
        <v>1155.5519999999999</v>
      </c>
      <c r="G45" s="68">
        <f t="shared" si="24"/>
        <v>1107.4039999999998</v>
      </c>
      <c r="H45" s="80">
        <f t="shared" si="25"/>
        <v>1059.2560000000001</v>
      </c>
      <c r="I45" s="108">
        <f t="shared" si="26"/>
        <v>1011.1079999999999</v>
      </c>
      <c r="J45" s="66"/>
      <c r="K45" s="69">
        <f t="shared" si="11"/>
        <v>962.95999999999992</v>
      </c>
      <c r="L45" s="77">
        <f>814*1.14</f>
        <v>927.95999999999992</v>
      </c>
    </row>
    <row r="46" spans="2:12" s="64" customFormat="1">
      <c r="B46" s="116" t="s">
        <v>486</v>
      </c>
      <c r="C46" s="72" t="s">
        <v>90</v>
      </c>
      <c r="D46" s="129" t="s">
        <v>118</v>
      </c>
      <c r="E46" s="136">
        <f t="shared" si="22"/>
        <v>166.29999999999998</v>
      </c>
      <c r="F46" s="67">
        <f t="shared" si="23"/>
        <v>159.648</v>
      </c>
      <c r="G46" s="68">
        <f t="shared" si="24"/>
        <v>152.99599999999998</v>
      </c>
      <c r="H46" s="80">
        <f t="shared" si="25"/>
        <v>146.34399999999999</v>
      </c>
      <c r="I46" s="108">
        <f t="shared" si="26"/>
        <v>139.69200000000001</v>
      </c>
      <c r="J46" s="66"/>
      <c r="K46" s="69">
        <f t="shared" si="11"/>
        <v>133.04</v>
      </c>
      <c r="L46" s="77">
        <f>86*1.14</f>
        <v>98.039999999999992</v>
      </c>
    </row>
    <row r="47" spans="2:12" s="64" customFormat="1">
      <c r="B47" s="116" t="s">
        <v>477</v>
      </c>
      <c r="C47" s="72" t="s">
        <v>123</v>
      </c>
      <c r="D47" s="129" t="s">
        <v>492</v>
      </c>
      <c r="E47" s="136">
        <f t="shared" si="22"/>
        <v>1690.6937499999999</v>
      </c>
      <c r="F47" s="67">
        <f t="shared" si="23"/>
        <v>1623.0659999999998</v>
      </c>
      <c r="G47" s="68">
        <f t="shared" si="24"/>
        <v>1555.4382499999997</v>
      </c>
      <c r="H47" s="80">
        <f t="shared" si="25"/>
        <v>1487.8105</v>
      </c>
      <c r="I47" s="108">
        <f t="shared" si="26"/>
        <v>1420.1827499999999</v>
      </c>
      <c r="J47" s="66"/>
      <c r="K47" s="69">
        <f t="shared" si="11"/>
        <v>1352.5549999999998</v>
      </c>
      <c r="L47" s="77">
        <f>1155.75*1.14</f>
        <v>1317.5549999999998</v>
      </c>
    </row>
    <row r="48" spans="2:12" s="64" customFormat="1">
      <c r="B48" s="116" t="s">
        <v>478</v>
      </c>
      <c r="C48" s="72" t="s">
        <v>123</v>
      </c>
      <c r="D48" s="129" t="s">
        <v>492</v>
      </c>
      <c r="E48" s="136">
        <f t="shared" si="22"/>
        <v>1856.35</v>
      </c>
      <c r="F48" s="67">
        <f t="shared" si="23"/>
        <v>1782.0959999999998</v>
      </c>
      <c r="G48" s="68">
        <f t="shared" si="24"/>
        <v>1707.8419999999999</v>
      </c>
      <c r="H48" s="80">
        <f t="shared" si="25"/>
        <v>1633.588</v>
      </c>
      <c r="I48" s="108">
        <f t="shared" si="26"/>
        <v>1559.3340000000001</v>
      </c>
      <c r="J48" s="66"/>
      <c r="K48" s="69">
        <f t="shared" si="11"/>
        <v>1485.08</v>
      </c>
      <c r="L48" s="77">
        <f>1272*1.14</f>
        <v>1450.08</v>
      </c>
    </row>
    <row r="49" spans="2:12" s="64" customFormat="1">
      <c r="B49" s="116" t="s">
        <v>479</v>
      </c>
      <c r="C49" s="72" t="s">
        <v>90</v>
      </c>
      <c r="D49" s="129" t="s">
        <v>490</v>
      </c>
      <c r="E49" s="136">
        <f t="shared" si="22"/>
        <v>1180.1875</v>
      </c>
      <c r="F49" s="67">
        <f t="shared" si="23"/>
        <v>1132.98</v>
      </c>
      <c r="G49" s="68">
        <f t="shared" si="24"/>
        <v>1085.7724999999998</v>
      </c>
      <c r="H49" s="80">
        <f t="shared" si="25"/>
        <v>1038.5650000000001</v>
      </c>
      <c r="I49" s="108">
        <f t="shared" si="26"/>
        <v>991.35750000000007</v>
      </c>
      <c r="J49" s="66"/>
      <c r="K49" s="69">
        <f t="shared" si="11"/>
        <v>944.15</v>
      </c>
      <c r="L49" s="77">
        <f>797.5*1.14</f>
        <v>909.15</v>
      </c>
    </row>
    <row r="50" spans="2:12" s="64" customFormat="1">
      <c r="B50" s="116" t="s">
        <v>487</v>
      </c>
      <c r="C50" s="72" t="s">
        <v>90</v>
      </c>
      <c r="D50" s="129" t="s">
        <v>490</v>
      </c>
      <c r="E50" s="136">
        <f t="shared" si="22"/>
        <v>1245.7375</v>
      </c>
      <c r="F50" s="67">
        <f t="shared" si="23"/>
        <v>1195.9079999999999</v>
      </c>
      <c r="G50" s="68">
        <f t="shared" si="24"/>
        <v>1146.0784999999998</v>
      </c>
      <c r="H50" s="80">
        <f t="shared" si="25"/>
        <v>1096.249</v>
      </c>
      <c r="I50" s="108">
        <f t="shared" si="26"/>
        <v>1046.4195</v>
      </c>
      <c r="J50" s="66"/>
      <c r="K50" s="69">
        <f t="shared" si="11"/>
        <v>996.58999999999992</v>
      </c>
      <c r="L50" s="77">
        <f>843.5*1.14</f>
        <v>961.58999999999992</v>
      </c>
    </row>
    <row r="51" spans="2:12" s="64" customFormat="1">
      <c r="B51" s="116" t="s">
        <v>488</v>
      </c>
      <c r="C51" s="72" t="s">
        <v>90</v>
      </c>
      <c r="D51" s="129" t="s">
        <v>490</v>
      </c>
      <c r="E51" s="136">
        <f t="shared" si="22"/>
        <v>1284.2124999999999</v>
      </c>
      <c r="F51" s="67">
        <f t="shared" si="23"/>
        <v>1232.8439999999998</v>
      </c>
      <c r="G51" s="68">
        <f t="shared" si="24"/>
        <v>1181.4754999999998</v>
      </c>
      <c r="H51" s="80">
        <f t="shared" si="25"/>
        <v>1130.107</v>
      </c>
      <c r="I51" s="108">
        <f t="shared" si="26"/>
        <v>1078.7384999999999</v>
      </c>
      <c r="J51" s="66"/>
      <c r="K51" s="69">
        <f t="shared" si="11"/>
        <v>1027.3699999999999</v>
      </c>
      <c r="L51" s="77">
        <f>870.5*1.14</f>
        <v>992.36999999999989</v>
      </c>
    </row>
    <row r="52" spans="2:12" s="64" customFormat="1" ht="15.75" thickBot="1">
      <c r="B52" s="117" t="s">
        <v>489</v>
      </c>
      <c r="C52" s="127" t="s">
        <v>90</v>
      </c>
      <c r="D52" s="134" t="s">
        <v>490</v>
      </c>
      <c r="E52" s="141">
        <f t="shared" si="22"/>
        <v>1349.7624999999998</v>
      </c>
      <c r="F52" s="102">
        <f t="shared" si="23"/>
        <v>1295.7719999999999</v>
      </c>
      <c r="G52" s="103">
        <f t="shared" si="24"/>
        <v>1241.7814999999998</v>
      </c>
      <c r="H52" s="104">
        <f t="shared" si="25"/>
        <v>1187.7909999999999</v>
      </c>
      <c r="I52" s="109">
        <f t="shared" si="26"/>
        <v>1133.8005000000001</v>
      </c>
      <c r="J52" s="66"/>
      <c r="K52" s="69">
        <f t="shared" si="11"/>
        <v>1079.81</v>
      </c>
      <c r="L52" s="77">
        <f>916.5*1.14</f>
        <v>1044.81</v>
      </c>
    </row>
    <row r="53" spans="2:12" s="89" customFormat="1" ht="15" customHeight="1">
      <c r="B53" s="82"/>
      <c r="C53" s="83"/>
      <c r="D53" s="83"/>
      <c r="E53" s="84"/>
      <c r="F53" s="84"/>
      <c r="G53" s="84"/>
      <c r="H53" s="84"/>
      <c r="I53" s="84"/>
      <c r="J53" s="85"/>
      <c r="K53" s="86"/>
      <c r="L53" s="88"/>
    </row>
    <row r="54" spans="2:12" s="89" customFormat="1" ht="15" customHeight="1">
      <c r="B54" s="82"/>
      <c r="C54" s="83"/>
      <c r="D54" s="83"/>
      <c r="E54" s="84"/>
      <c r="F54" s="84"/>
      <c r="G54" s="84"/>
      <c r="H54" s="84"/>
      <c r="I54" s="84"/>
      <c r="J54" s="85"/>
      <c r="K54" s="86"/>
      <c r="L54" s="88"/>
    </row>
    <row r="55" spans="2:12" s="89" customFormat="1">
      <c r="B55" s="82"/>
      <c r="C55" s="83"/>
      <c r="D55" s="83"/>
      <c r="E55" s="84"/>
      <c r="F55" s="84"/>
      <c r="G55" s="84"/>
      <c r="H55" s="84"/>
      <c r="I55" s="84"/>
      <c r="J55" s="85"/>
      <c r="K55" s="86"/>
      <c r="L55" s="88"/>
    </row>
    <row r="56" spans="2:12" s="89" customFormat="1">
      <c r="B56" s="82"/>
      <c r="C56" s="83"/>
      <c r="D56" s="83"/>
      <c r="E56" s="84"/>
      <c r="F56" s="84"/>
      <c r="G56" s="84"/>
      <c r="H56" s="84"/>
      <c r="I56" s="84"/>
      <c r="J56" s="85"/>
      <c r="K56" s="86"/>
      <c r="L56" s="88"/>
    </row>
    <row r="57" spans="2:12" s="89" customFormat="1">
      <c r="B57" s="82"/>
      <c r="C57" s="83"/>
      <c r="D57" s="83"/>
      <c r="E57" s="84"/>
      <c r="F57" s="84"/>
      <c r="G57" s="84"/>
      <c r="H57" s="84"/>
      <c r="I57" s="84"/>
      <c r="J57" s="85"/>
      <c r="K57" s="86"/>
      <c r="L57" s="88"/>
    </row>
    <row r="58" spans="2:12" s="89" customFormat="1">
      <c r="B58" s="82"/>
      <c r="C58" s="83"/>
      <c r="D58" s="83"/>
      <c r="E58" s="84"/>
      <c r="F58" s="84"/>
      <c r="G58" s="84"/>
      <c r="H58" s="84"/>
      <c r="I58" s="84"/>
      <c r="J58" s="85"/>
      <c r="K58" s="86"/>
      <c r="L58" s="88"/>
    </row>
    <row r="59" spans="2:12" s="89" customFormat="1">
      <c r="B59" s="82"/>
      <c r="C59" s="83"/>
      <c r="D59" s="83"/>
      <c r="E59" s="84"/>
      <c r="F59" s="84"/>
      <c r="G59" s="84"/>
      <c r="H59" s="84"/>
      <c r="I59" s="84"/>
      <c r="J59" s="85"/>
      <c r="K59" s="86"/>
      <c r="L59" s="88"/>
    </row>
    <row r="60" spans="2:12" s="89" customFormat="1">
      <c r="B60" s="82"/>
      <c r="C60" s="83"/>
      <c r="D60" s="83"/>
      <c r="E60" s="84"/>
      <c r="F60" s="84"/>
      <c r="G60" s="84"/>
      <c r="H60" s="84"/>
      <c r="I60" s="84"/>
      <c r="J60" s="85"/>
      <c r="K60" s="86"/>
      <c r="L60" s="88"/>
    </row>
    <row r="61" spans="2:12" s="89" customFormat="1">
      <c r="B61" s="82"/>
      <c r="C61" s="83"/>
      <c r="D61" s="83"/>
      <c r="E61" s="84"/>
      <c r="F61" s="84"/>
      <c r="G61" s="84"/>
      <c r="H61" s="84"/>
      <c r="I61" s="84"/>
      <c r="J61" s="85"/>
      <c r="K61" s="86"/>
      <c r="L61" s="88"/>
    </row>
    <row r="62" spans="2:12" s="89" customFormat="1">
      <c r="B62" s="82"/>
      <c r="C62" s="83"/>
      <c r="D62" s="83"/>
      <c r="E62" s="84"/>
      <c r="F62" s="84"/>
      <c r="G62" s="84"/>
      <c r="H62" s="84"/>
      <c r="I62" s="84"/>
      <c r="J62" s="85"/>
      <c r="K62" s="86"/>
      <c r="L62" s="88"/>
    </row>
    <row r="63" spans="2:12" s="89" customFormat="1">
      <c r="B63" s="82"/>
      <c r="C63" s="83"/>
      <c r="D63" s="83"/>
      <c r="E63" s="84"/>
      <c r="F63" s="84"/>
      <c r="G63" s="84"/>
      <c r="H63" s="84"/>
      <c r="I63" s="84"/>
      <c r="J63" s="85"/>
      <c r="K63" s="86"/>
      <c r="L63" s="88"/>
    </row>
    <row r="64" spans="2:12" s="89" customFormat="1">
      <c r="B64" s="82"/>
      <c r="C64" s="83"/>
      <c r="D64" s="83"/>
      <c r="E64" s="84"/>
      <c r="F64" s="84"/>
      <c r="G64" s="84"/>
      <c r="H64" s="84"/>
      <c r="I64" s="84"/>
      <c r="J64" s="85"/>
      <c r="K64" s="86"/>
      <c r="L64" s="88"/>
    </row>
    <row r="65" spans="2:12" s="89" customFormat="1">
      <c r="B65" s="82"/>
      <c r="C65" s="83"/>
      <c r="D65" s="83"/>
      <c r="E65" s="84"/>
      <c r="F65" s="84"/>
      <c r="G65" s="84"/>
      <c r="H65" s="84"/>
      <c r="I65" s="84"/>
      <c r="J65" s="85"/>
      <c r="K65" s="86"/>
      <c r="L65" s="88"/>
    </row>
    <row r="66" spans="2:12" s="89" customFormat="1">
      <c r="B66" s="82"/>
      <c r="C66" s="83"/>
      <c r="D66" s="83"/>
      <c r="E66" s="84"/>
      <c r="F66" s="84"/>
      <c r="G66" s="84"/>
      <c r="H66" s="84"/>
      <c r="I66" s="84"/>
      <c r="J66" s="85"/>
      <c r="K66" s="86"/>
      <c r="L66" s="88"/>
    </row>
    <row r="67" spans="2:12" s="89" customFormat="1">
      <c r="B67" s="82"/>
      <c r="C67" s="83"/>
      <c r="D67" s="83"/>
      <c r="E67" s="84"/>
      <c r="F67" s="84"/>
      <c r="G67" s="84"/>
      <c r="H67" s="84"/>
      <c r="I67" s="84"/>
      <c r="J67" s="85"/>
      <c r="K67" s="86"/>
      <c r="L67" s="88"/>
    </row>
    <row r="68" spans="2:12" s="89" customFormat="1">
      <c r="B68" s="82"/>
      <c r="C68" s="83"/>
      <c r="D68" s="83"/>
      <c r="E68" s="84"/>
      <c r="F68" s="84"/>
      <c r="G68" s="84"/>
      <c r="H68" s="84"/>
      <c r="I68" s="84"/>
      <c r="J68" s="85"/>
      <c r="K68" s="86"/>
      <c r="L68" s="88"/>
    </row>
    <row r="69" spans="2:12" s="89" customFormat="1">
      <c r="B69" s="82"/>
      <c r="C69" s="83"/>
      <c r="D69" s="83"/>
      <c r="E69" s="84"/>
      <c r="F69" s="84"/>
      <c r="G69" s="84"/>
      <c r="H69" s="84"/>
      <c r="I69" s="84"/>
      <c r="J69" s="85"/>
      <c r="K69" s="86"/>
      <c r="L69" s="88"/>
    </row>
    <row r="70" spans="2:12" s="89" customFormat="1">
      <c r="B70" s="82"/>
      <c r="C70" s="83"/>
      <c r="D70" s="83"/>
      <c r="E70" s="84"/>
      <c r="F70" s="84"/>
      <c r="G70" s="84"/>
      <c r="H70" s="84"/>
      <c r="I70" s="84"/>
      <c r="J70" s="85"/>
      <c r="K70" s="86"/>
      <c r="L70" s="88"/>
    </row>
    <row r="71" spans="2:12" s="89" customFormat="1">
      <c r="B71" s="82"/>
      <c r="C71" s="83"/>
      <c r="D71" s="83"/>
      <c r="E71" s="84"/>
      <c r="F71" s="84"/>
      <c r="G71" s="84"/>
      <c r="H71" s="84"/>
      <c r="I71" s="84"/>
      <c r="J71" s="85"/>
      <c r="K71" s="86"/>
      <c r="L71" s="88"/>
    </row>
    <row r="72" spans="2:12" s="89" customFormat="1">
      <c r="B72" s="82"/>
      <c r="C72" s="83"/>
      <c r="D72" s="83"/>
      <c r="E72" s="84"/>
      <c r="F72" s="84"/>
      <c r="G72" s="84"/>
      <c r="H72" s="84"/>
      <c r="I72" s="84"/>
      <c r="J72" s="85"/>
      <c r="K72" s="86"/>
      <c r="L72" s="88"/>
    </row>
    <row r="73" spans="2:12" s="89" customFormat="1">
      <c r="B73" s="82"/>
      <c r="C73" s="83"/>
      <c r="D73" s="83"/>
      <c r="E73" s="84"/>
      <c r="F73" s="84"/>
      <c r="G73" s="84"/>
      <c r="H73" s="84"/>
      <c r="I73" s="84"/>
      <c r="J73" s="85"/>
      <c r="K73" s="86"/>
      <c r="L73" s="88"/>
    </row>
    <row r="74" spans="2:12" s="89" customFormat="1">
      <c r="B74" s="82"/>
      <c r="C74" s="83"/>
      <c r="D74" s="83"/>
      <c r="E74" s="84"/>
      <c r="F74" s="84"/>
      <c r="G74" s="84"/>
      <c r="H74" s="84"/>
      <c r="I74" s="84"/>
      <c r="J74" s="85"/>
      <c r="K74" s="86"/>
      <c r="L74" s="88"/>
    </row>
    <row r="75" spans="2:12" s="89" customFormat="1">
      <c r="B75" s="82"/>
      <c r="C75" s="83"/>
      <c r="D75" s="83"/>
      <c r="E75" s="84"/>
      <c r="F75" s="84"/>
      <c r="G75" s="84"/>
      <c r="H75" s="84"/>
      <c r="I75" s="84"/>
      <c r="J75" s="85"/>
      <c r="K75" s="86"/>
      <c r="L75" s="88"/>
    </row>
    <row r="76" spans="2:12" s="89" customFormat="1">
      <c r="B76" s="82"/>
      <c r="C76" s="83"/>
      <c r="D76" s="83"/>
      <c r="E76" s="84"/>
      <c r="F76" s="84"/>
      <c r="G76" s="84"/>
      <c r="H76" s="84"/>
      <c r="I76" s="84"/>
      <c r="J76" s="85"/>
      <c r="K76" s="86"/>
      <c r="L76" s="88"/>
    </row>
    <row r="77" spans="2:12" s="89" customFormat="1">
      <c r="B77" s="82"/>
      <c r="C77" s="83"/>
      <c r="D77" s="83"/>
      <c r="E77" s="84"/>
      <c r="F77" s="84"/>
      <c r="G77" s="84"/>
      <c r="H77" s="84"/>
      <c r="I77" s="84"/>
      <c r="J77" s="85"/>
      <c r="K77" s="86"/>
      <c r="L77" s="88"/>
    </row>
    <row r="78" spans="2:12" s="89" customFormat="1">
      <c r="B78" s="82"/>
      <c r="C78" s="83"/>
      <c r="D78" s="83"/>
      <c r="E78" s="84"/>
      <c r="F78" s="84"/>
      <c r="G78" s="84"/>
      <c r="H78" s="84"/>
      <c r="I78" s="84"/>
      <c r="J78" s="85"/>
      <c r="K78" s="86"/>
      <c r="L78" s="88"/>
    </row>
    <row r="79" spans="2:12" s="89" customFormat="1">
      <c r="B79" s="82"/>
      <c r="C79" s="83"/>
      <c r="D79" s="83"/>
      <c r="E79" s="84"/>
      <c r="F79" s="84"/>
      <c r="G79" s="84"/>
      <c r="H79" s="84"/>
      <c r="I79" s="84"/>
      <c r="J79" s="85"/>
      <c r="K79" s="86"/>
      <c r="L79" s="88"/>
    </row>
    <row r="80" spans="2:12" s="89" customFormat="1">
      <c r="B80" s="82"/>
      <c r="C80" s="83"/>
      <c r="D80" s="83"/>
      <c r="E80" s="84"/>
      <c r="F80" s="84"/>
      <c r="G80" s="84"/>
      <c r="H80" s="84"/>
      <c r="I80" s="84"/>
      <c r="J80" s="85"/>
      <c r="K80" s="86"/>
      <c r="L80" s="88"/>
    </row>
  </sheetData>
  <customSheetViews>
    <customSheetView guid="{FBB3E572-A647-4B8C-96C7-F43FE4F7CAA8}" scale="110" showPageBreaks="1" fitToPage="1" printArea="1" hiddenColumns="1" view="pageBreakPreview">
      <selection activeCell="H13" sqref="H13"/>
      <pageMargins left="0.69" right="0.27559055118110237" top="0.39370078740157483" bottom="0.23622047244094491" header="0.31496062992125984" footer="0.19685039370078741"/>
      <pageSetup paperSize="9" scale="77" orientation="portrait" verticalDpi="0" r:id="rId1"/>
    </customSheetView>
    <customSheetView guid="{900EF7B2-0D63-4DE2-9CFC-2D2B3788802C}" scale="110" showPageBreaks="1" fitToPage="1" printArea="1" hiddenColumns="1" view="pageBreakPreview">
      <selection activeCell="P29" sqref="P29"/>
      <pageMargins left="0.69" right="0.27559055118110237" top="0.39370078740157483" bottom="0.23622047244094491" header="0.31496062992125984" footer="0.19685039370078741"/>
      <pageSetup paperSize="9" scale="76" orientation="portrait" verticalDpi="0" r:id="rId2"/>
    </customSheetView>
    <customSheetView guid="{CC6D6007-EFDE-464F-BD7C-A67043AC5D5C}" scale="110" showPageBreaks="1" fitToPage="1" printArea="1" hiddenColumns="1" view="pageBreakPreview">
      <selection activeCell="B12" sqref="B12"/>
      <pageMargins left="0.69" right="0.27559055118110237" top="0.39370078740157483" bottom="0.23622047244094491" header="0.31496062992125984" footer="0.19685039370078741"/>
      <pageSetup paperSize="9" scale="76" orientation="portrait" verticalDpi="0" r:id="rId3"/>
    </customSheetView>
    <customSheetView guid="{C0FE86CC-5BB4-4265-957F-F51B909B3E81}" scale="110" showPageBreaks="1" fitToPage="1" printArea="1" hiddenColumns="1" view="pageBreakPreview">
      <selection activeCell="B12" sqref="B12"/>
      <pageMargins left="0.69" right="0.27559055118110237" top="0.39370078740157483" bottom="0.23622047244094491" header="0.31496062992125984" footer="0.19685039370078741"/>
      <pageSetup paperSize="9" scale="76" orientation="portrait" verticalDpi="0" r:id="rId4"/>
    </customSheetView>
  </customSheetViews>
  <mergeCells count="12">
    <mergeCell ref="B20:I20"/>
    <mergeCell ref="B37:I37"/>
    <mergeCell ref="L3:L5"/>
    <mergeCell ref="F4:I4"/>
    <mergeCell ref="B6:I6"/>
    <mergeCell ref="B17:I17"/>
    <mergeCell ref="B3:B5"/>
    <mergeCell ref="C3:C5"/>
    <mergeCell ref="D3:D5"/>
    <mergeCell ref="E3:E5"/>
    <mergeCell ref="F3:I3"/>
    <mergeCell ref="K3:K5"/>
  </mergeCells>
  <pageMargins left="0.69" right="0.27559055118110237" top="0.39370078740157483" bottom="0.23622047244094491" header="0.31496062992125984" footer="0.19685039370078741"/>
  <pageSetup paperSize="9" scale="77" orientation="portrait" verticalDpi="0" r:id="rId5"/>
  <legacyDrawing r:id="rId6"/>
</worksheet>
</file>

<file path=xl/worksheets/sheet16.xml><?xml version="1.0" encoding="utf-8"?>
<worksheet xmlns="http://schemas.openxmlformats.org/spreadsheetml/2006/main" xmlns:r="http://schemas.openxmlformats.org/officeDocument/2006/relationships">
  <sheetPr codeName="Лист5">
    <tabColor rgb="FF00B050"/>
    <pageSetUpPr fitToPage="1"/>
  </sheetPr>
  <dimension ref="B1:Q28"/>
  <sheetViews>
    <sheetView view="pageBreakPreview" topLeftCell="A2" zoomScaleNormal="90" zoomScaleSheetLayoutView="100" workbookViewId="0">
      <pane ySplit="4" topLeftCell="A15" activePane="bottomLeft" state="frozen"/>
      <selection activeCell="A2" sqref="A2"/>
      <selection pane="bottomLeft" activeCell="B6" sqref="B6:B9"/>
    </sheetView>
  </sheetViews>
  <sheetFormatPr defaultRowHeight="15"/>
  <cols>
    <col min="1" max="1" width="0.28515625" style="1" customWidth="1"/>
    <col min="2" max="2" width="52.85546875" style="47" customWidth="1"/>
    <col min="3" max="3" width="26.28515625" style="49" customWidth="1"/>
    <col min="4" max="4" width="15.5703125" style="2" customWidth="1"/>
    <col min="5" max="5" width="7" style="27" customWidth="1"/>
    <col min="6" max="6" width="9.7109375" style="27" customWidth="1"/>
    <col min="7" max="7" width="12" style="2" customWidth="1"/>
    <col min="8" max="10" width="9.140625" style="2"/>
    <col min="11" max="11" width="10.28515625" style="2" customWidth="1"/>
    <col min="12" max="12" width="11.5703125" style="2" hidden="1" customWidth="1"/>
    <col min="13" max="13" width="3.140625" style="7" hidden="1" customWidth="1"/>
    <col min="14" max="14" width="11.7109375" style="46" hidden="1" customWidth="1"/>
    <col min="15" max="15" width="0.140625" style="46" hidden="1" customWidth="1"/>
    <col min="16" max="16" width="11.85546875" style="1" hidden="1" customWidth="1"/>
    <col min="17" max="17" width="9.140625" style="1" hidden="1" customWidth="1"/>
    <col min="18" max="18" width="0.140625" style="1" customWidth="1"/>
    <col min="19" max="16384" width="9.140625" style="1"/>
  </cols>
  <sheetData>
    <row r="1" spans="2:16" ht="28.5" hidden="1" customHeight="1"/>
    <row r="2" spans="2:16" ht="15.75" thickBot="1">
      <c r="B2" s="47" t="s">
        <v>878</v>
      </c>
    </row>
    <row r="3" spans="2:16" s="41" customFormat="1" ht="18" customHeight="1" thickBot="1">
      <c r="B3" s="1630" t="s">
        <v>79</v>
      </c>
      <c r="C3" s="1618" t="s">
        <v>39</v>
      </c>
      <c r="D3" s="1624" t="s">
        <v>16</v>
      </c>
      <c r="E3" s="1627" t="s">
        <v>15</v>
      </c>
      <c r="F3" s="1628"/>
      <c r="G3" s="1629"/>
      <c r="H3" s="1630" t="s">
        <v>37</v>
      </c>
      <c r="I3" s="1621"/>
      <c r="J3" s="1621"/>
      <c r="K3" s="1631"/>
      <c r="L3" s="1632"/>
      <c r="M3" s="39"/>
      <c r="N3" s="1610" t="s">
        <v>109</v>
      </c>
      <c r="O3" s="1610" t="s">
        <v>36</v>
      </c>
      <c r="P3" s="40"/>
    </row>
    <row r="4" spans="2:16" s="43" customFormat="1" ht="17.25">
      <c r="B4" s="1685"/>
      <c r="C4" s="1619"/>
      <c r="D4" s="1625"/>
      <c r="E4" s="1611" t="s">
        <v>21</v>
      </c>
      <c r="F4" s="1611" t="s">
        <v>1</v>
      </c>
      <c r="G4" s="1613" t="s">
        <v>2</v>
      </c>
      <c r="H4" s="1615" t="s">
        <v>38</v>
      </c>
      <c r="I4" s="1616"/>
      <c r="J4" s="1616"/>
      <c r="K4" s="1617"/>
      <c r="L4" s="8" t="s">
        <v>22</v>
      </c>
      <c r="M4" s="42"/>
      <c r="N4" s="1610"/>
      <c r="O4" s="1610"/>
      <c r="P4" s="40"/>
    </row>
    <row r="5" spans="2:16" s="43" customFormat="1" ht="18" thickBot="1">
      <c r="B5" s="1686"/>
      <c r="C5" s="1620"/>
      <c r="D5" s="1626"/>
      <c r="E5" s="1612"/>
      <c r="F5" s="1612"/>
      <c r="G5" s="1614"/>
      <c r="H5" s="91" t="s">
        <v>17</v>
      </c>
      <c r="I5" s="92" t="s">
        <v>19</v>
      </c>
      <c r="J5" s="92" t="s">
        <v>20</v>
      </c>
      <c r="K5" s="93" t="s">
        <v>18</v>
      </c>
      <c r="L5" s="93" t="s">
        <v>18</v>
      </c>
      <c r="M5" s="42"/>
      <c r="N5" s="1610"/>
      <c r="O5" s="1610"/>
      <c r="P5" s="40"/>
    </row>
    <row r="6" spans="2:16" ht="48.75" customHeight="1">
      <c r="B6" s="1687" t="s">
        <v>80</v>
      </c>
      <c r="C6" s="56" t="s">
        <v>81</v>
      </c>
      <c r="D6" s="57" t="s">
        <v>85</v>
      </c>
      <c r="E6" s="58" t="s">
        <v>89</v>
      </c>
      <c r="F6" s="62" t="s">
        <v>93</v>
      </c>
      <c r="G6" s="59">
        <v>0.25900000000000001</v>
      </c>
      <c r="H6" s="60">
        <f>O6*1.25+200</f>
        <v>5325</v>
      </c>
      <c r="I6" s="61">
        <f>O6*1.2+200</f>
        <v>5120</v>
      </c>
      <c r="J6" s="61">
        <f>O6+200*1.1+200</f>
        <v>4520</v>
      </c>
      <c r="K6" s="256">
        <f>O6*1.03+200</f>
        <v>4423</v>
      </c>
      <c r="L6" s="99">
        <f>O6*1.03</f>
        <v>4223</v>
      </c>
      <c r="N6" s="46">
        <f>O6+200</f>
        <v>4300</v>
      </c>
      <c r="O6" s="46">
        <v>4100</v>
      </c>
    </row>
    <row r="7" spans="2:16" ht="48.75" customHeight="1">
      <c r="B7" s="1688"/>
      <c r="C7" s="51" t="s">
        <v>82</v>
      </c>
      <c r="D7" s="5" t="s">
        <v>86</v>
      </c>
      <c r="E7" s="28" t="s">
        <v>92</v>
      </c>
      <c r="F7" s="45" t="s">
        <v>94</v>
      </c>
      <c r="G7" s="17">
        <v>0.254</v>
      </c>
      <c r="H7" s="95">
        <f t="shared" ref="H7:H9" si="0">O7*1.25+200</f>
        <v>4825</v>
      </c>
      <c r="I7" s="94">
        <f t="shared" ref="I7:I9" si="1">O7*1.2+200</f>
        <v>4640</v>
      </c>
      <c r="J7" s="94">
        <f t="shared" ref="J7:J9" si="2">O7+200*1.1+200</f>
        <v>4120</v>
      </c>
      <c r="K7" s="322">
        <f t="shared" ref="K7:K9" si="3">O7*1.03+200</f>
        <v>4011</v>
      </c>
      <c r="L7" s="100">
        <f t="shared" ref="L7:L9" si="4">O7*1.03</f>
        <v>3811</v>
      </c>
      <c r="N7" s="46">
        <f t="shared" ref="N7:N9" si="5">O7+200</f>
        <v>3900</v>
      </c>
      <c r="O7" s="46">
        <v>3700</v>
      </c>
    </row>
    <row r="8" spans="2:16" ht="48.75" customHeight="1">
      <c r="B8" s="1688"/>
      <c r="C8" s="51" t="s">
        <v>83</v>
      </c>
      <c r="D8" s="6" t="s">
        <v>87</v>
      </c>
      <c r="E8" s="29" t="s">
        <v>91</v>
      </c>
      <c r="F8" s="45" t="s">
        <v>95</v>
      </c>
      <c r="G8" s="17">
        <v>0.28299999999999997</v>
      </c>
      <c r="H8" s="95">
        <f t="shared" si="0"/>
        <v>4950</v>
      </c>
      <c r="I8" s="94">
        <f t="shared" si="1"/>
        <v>4760</v>
      </c>
      <c r="J8" s="94">
        <f t="shared" si="2"/>
        <v>4220</v>
      </c>
      <c r="K8" s="322">
        <f t="shared" si="3"/>
        <v>4114</v>
      </c>
      <c r="L8" s="100">
        <f t="shared" si="4"/>
        <v>3914</v>
      </c>
      <c r="N8" s="46">
        <f t="shared" si="5"/>
        <v>4000</v>
      </c>
      <c r="O8" s="46">
        <v>3800</v>
      </c>
    </row>
    <row r="9" spans="2:16" ht="48.75" customHeight="1" thickBot="1">
      <c r="B9" s="1689"/>
      <c r="C9" s="54" t="s">
        <v>84</v>
      </c>
      <c r="D9" s="14" t="s">
        <v>88</v>
      </c>
      <c r="E9" s="30" t="s">
        <v>90</v>
      </c>
      <c r="F9" s="63" t="s">
        <v>96</v>
      </c>
      <c r="G9" s="18">
        <v>0.247</v>
      </c>
      <c r="H9" s="96">
        <f t="shared" si="0"/>
        <v>4762.5</v>
      </c>
      <c r="I9" s="97">
        <f t="shared" si="1"/>
        <v>4580</v>
      </c>
      <c r="J9" s="97">
        <f t="shared" si="2"/>
        <v>4070</v>
      </c>
      <c r="K9" s="323">
        <f t="shared" si="3"/>
        <v>3959.5</v>
      </c>
      <c r="L9" s="101">
        <f t="shared" si="4"/>
        <v>3759.5</v>
      </c>
      <c r="N9" s="46">
        <f t="shared" si="5"/>
        <v>3850</v>
      </c>
      <c r="O9" s="46">
        <v>3650</v>
      </c>
    </row>
    <row r="10" spans="2:16" s="41" customFormat="1" ht="18" customHeight="1" thickBot="1">
      <c r="B10" s="1630" t="s">
        <v>562</v>
      </c>
      <c r="C10" s="1618" t="s">
        <v>39</v>
      </c>
      <c r="D10" s="1624" t="s">
        <v>16</v>
      </c>
      <c r="E10" s="1627" t="s">
        <v>15</v>
      </c>
      <c r="F10" s="1628"/>
      <c r="G10" s="1629"/>
      <c r="H10" s="1630" t="s">
        <v>37</v>
      </c>
      <c r="I10" s="1621"/>
      <c r="J10" s="1621"/>
      <c r="K10" s="1631"/>
      <c r="L10" s="1632"/>
      <c r="M10" s="39"/>
      <c r="N10" s="1610" t="s">
        <v>570</v>
      </c>
      <c r="O10" s="1610" t="s">
        <v>569</v>
      </c>
      <c r="P10" s="40"/>
    </row>
    <row r="11" spans="2:16" s="43" customFormat="1" ht="17.25">
      <c r="B11" s="1685"/>
      <c r="C11" s="1619"/>
      <c r="D11" s="1625"/>
      <c r="E11" s="1611" t="s">
        <v>21</v>
      </c>
      <c r="F11" s="1611" t="s">
        <v>1</v>
      </c>
      <c r="G11" s="1613" t="s">
        <v>2</v>
      </c>
      <c r="H11" s="1615" t="s">
        <v>38</v>
      </c>
      <c r="I11" s="1616"/>
      <c r="J11" s="1616"/>
      <c r="K11" s="1617"/>
      <c r="L11" s="8" t="s">
        <v>22</v>
      </c>
      <c r="M11" s="42"/>
      <c r="N11" s="1610"/>
      <c r="O11" s="1610"/>
      <c r="P11" s="40"/>
    </row>
    <row r="12" spans="2:16" s="43" customFormat="1" ht="18" thickBot="1">
      <c r="B12" s="1686"/>
      <c r="C12" s="1620"/>
      <c r="D12" s="1626"/>
      <c r="E12" s="1612"/>
      <c r="F12" s="1612"/>
      <c r="G12" s="1614"/>
      <c r="H12" s="91" t="s">
        <v>17</v>
      </c>
      <c r="I12" s="92" t="s">
        <v>19</v>
      </c>
      <c r="J12" s="92" t="s">
        <v>20</v>
      </c>
      <c r="K12" s="93" t="s">
        <v>18</v>
      </c>
      <c r="L12" s="93" t="s">
        <v>18</v>
      </c>
      <c r="M12" s="42"/>
      <c r="N12" s="1610"/>
      <c r="O12" s="1610"/>
      <c r="P12" s="40"/>
    </row>
    <row r="13" spans="2:16" ht="22.5" customHeight="1">
      <c r="B13" s="1687" t="s">
        <v>80</v>
      </c>
      <c r="C13" s="355" t="s">
        <v>561</v>
      </c>
      <c r="D13" s="57" t="s">
        <v>568</v>
      </c>
      <c r="E13" s="58"/>
      <c r="F13" s="62"/>
      <c r="G13" s="59"/>
      <c r="H13" s="60">
        <f>O13*1.25+30</f>
        <v>1280</v>
      </c>
      <c r="I13" s="61">
        <f>O13*1.2+30</f>
        <v>1230</v>
      </c>
      <c r="J13" s="61">
        <f>O13*1.1+30</f>
        <v>1130</v>
      </c>
      <c r="K13" s="256">
        <f>O13*1.03+30</f>
        <v>1060</v>
      </c>
      <c r="L13" s="99">
        <f>O13*1.03</f>
        <v>1030</v>
      </c>
      <c r="N13" s="46">
        <f>O13+30</f>
        <v>1030</v>
      </c>
      <c r="O13" s="46">
        <v>1000</v>
      </c>
    </row>
    <row r="14" spans="2:16" ht="22.5" customHeight="1">
      <c r="B14" s="1688"/>
      <c r="C14" s="356" t="s">
        <v>567</v>
      </c>
      <c r="D14" s="5" t="s">
        <v>565</v>
      </c>
      <c r="E14" s="28"/>
      <c r="F14" s="45"/>
      <c r="G14" s="17"/>
      <c r="H14" s="95">
        <f t="shared" ref="H14:H21" si="6">O14*1.25+30</f>
        <v>2280</v>
      </c>
      <c r="I14" s="94">
        <f t="shared" ref="I14:I21" si="7">O14*1.2+30</f>
        <v>2190</v>
      </c>
      <c r="J14" s="94">
        <f t="shared" ref="J14:J21" si="8">O14*1.1+30</f>
        <v>2010.0000000000002</v>
      </c>
      <c r="K14" s="322">
        <f t="shared" ref="K14:K21" si="9">O14*1.03+30</f>
        <v>1884</v>
      </c>
      <c r="L14" s="100">
        <f t="shared" ref="L14:L21" si="10">O14*1.03</f>
        <v>1854</v>
      </c>
      <c r="N14" s="46">
        <f t="shared" ref="N14:N21" si="11">O14+30</f>
        <v>1830</v>
      </c>
      <c r="O14" s="46">
        <v>1800</v>
      </c>
    </row>
    <row r="15" spans="2:16" ht="22.5" customHeight="1">
      <c r="B15" s="1688"/>
      <c r="C15" s="356" t="s">
        <v>567</v>
      </c>
      <c r="D15" s="6" t="s">
        <v>566</v>
      </c>
      <c r="E15" s="29"/>
      <c r="F15" s="45"/>
      <c r="G15" s="17"/>
      <c r="H15" s="95">
        <f t="shared" si="6"/>
        <v>2280</v>
      </c>
      <c r="I15" s="94">
        <f t="shared" si="7"/>
        <v>2190</v>
      </c>
      <c r="J15" s="94">
        <f t="shared" si="8"/>
        <v>2010.0000000000002</v>
      </c>
      <c r="K15" s="322">
        <f t="shared" si="9"/>
        <v>1884</v>
      </c>
      <c r="L15" s="100">
        <f t="shared" si="10"/>
        <v>1854</v>
      </c>
      <c r="N15" s="46">
        <f t="shared" si="11"/>
        <v>1830</v>
      </c>
      <c r="O15" s="46">
        <v>1800</v>
      </c>
    </row>
    <row r="16" spans="2:16" ht="22.5" customHeight="1">
      <c r="B16" s="1688"/>
      <c r="C16" s="356" t="s">
        <v>872</v>
      </c>
      <c r="D16" s="5" t="s">
        <v>564</v>
      </c>
      <c r="E16" s="28"/>
      <c r="F16" s="45"/>
      <c r="G16" s="17"/>
      <c r="H16" s="95">
        <f t="shared" si="6"/>
        <v>2342.5</v>
      </c>
      <c r="I16" s="94">
        <f t="shared" si="7"/>
        <v>2250</v>
      </c>
      <c r="J16" s="94">
        <f t="shared" si="8"/>
        <v>2065</v>
      </c>
      <c r="K16" s="322">
        <f t="shared" si="9"/>
        <v>1935.5</v>
      </c>
      <c r="L16" s="100">
        <f t="shared" si="10"/>
        <v>1905.5</v>
      </c>
      <c r="N16" s="46">
        <f t="shared" si="11"/>
        <v>1880</v>
      </c>
      <c r="O16" s="46">
        <v>1850</v>
      </c>
    </row>
    <row r="17" spans="2:15" ht="22.5" customHeight="1">
      <c r="B17" s="1688"/>
      <c r="C17" s="356" t="s">
        <v>873</v>
      </c>
      <c r="D17" s="6" t="s">
        <v>564</v>
      </c>
      <c r="E17" s="29"/>
      <c r="F17" s="45"/>
      <c r="G17" s="17"/>
      <c r="H17" s="95">
        <f t="shared" si="6"/>
        <v>3155</v>
      </c>
      <c r="I17" s="94">
        <f t="shared" si="7"/>
        <v>3030</v>
      </c>
      <c r="J17" s="94">
        <f t="shared" si="8"/>
        <v>2780</v>
      </c>
      <c r="K17" s="322">
        <f t="shared" si="9"/>
        <v>2605</v>
      </c>
      <c r="L17" s="100">
        <f t="shared" si="10"/>
        <v>2575</v>
      </c>
      <c r="N17" s="46">
        <f t="shared" si="11"/>
        <v>2530</v>
      </c>
      <c r="O17" s="46">
        <v>2500</v>
      </c>
    </row>
    <row r="18" spans="2:15" ht="22.5" customHeight="1">
      <c r="B18" s="1688"/>
      <c r="C18" s="356" t="s">
        <v>874</v>
      </c>
      <c r="D18" s="6" t="s">
        <v>564</v>
      </c>
      <c r="E18" s="29"/>
      <c r="F18" s="45"/>
      <c r="G18" s="17"/>
      <c r="H18" s="95">
        <f t="shared" si="6"/>
        <v>3405</v>
      </c>
      <c r="I18" s="94">
        <f t="shared" si="7"/>
        <v>3270</v>
      </c>
      <c r="J18" s="94">
        <f t="shared" si="8"/>
        <v>3000.0000000000005</v>
      </c>
      <c r="K18" s="322">
        <f t="shared" si="9"/>
        <v>2811</v>
      </c>
      <c r="L18" s="100">
        <f t="shared" si="10"/>
        <v>2781</v>
      </c>
      <c r="N18" s="46">
        <f t="shared" si="11"/>
        <v>2730</v>
      </c>
      <c r="O18" s="46">
        <v>2700</v>
      </c>
    </row>
    <row r="19" spans="2:15" ht="22.5" customHeight="1">
      <c r="B19" s="1688"/>
      <c r="C19" s="356" t="s">
        <v>875</v>
      </c>
      <c r="D19" s="5" t="s">
        <v>564</v>
      </c>
      <c r="E19" s="28"/>
      <c r="F19" s="45"/>
      <c r="G19" s="17"/>
      <c r="H19" s="95">
        <f t="shared" si="6"/>
        <v>3692.5</v>
      </c>
      <c r="I19" s="94">
        <f t="shared" si="7"/>
        <v>3546</v>
      </c>
      <c r="J19" s="94">
        <f t="shared" si="8"/>
        <v>3253.0000000000005</v>
      </c>
      <c r="K19" s="322">
        <f t="shared" si="9"/>
        <v>3047.9</v>
      </c>
      <c r="L19" s="100">
        <f t="shared" si="10"/>
        <v>3017.9</v>
      </c>
      <c r="N19" s="46">
        <f t="shared" si="11"/>
        <v>2960</v>
      </c>
      <c r="O19" s="46">
        <v>2930</v>
      </c>
    </row>
    <row r="20" spans="2:15" ht="22.5" customHeight="1">
      <c r="B20" s="1688"/>
      <c r="C20" s="356" t="s">
        <v>876</v>
      </c>
      <c r="D20" s="6" t="s">
        <v>564</v>
      </c>
      <c r="E20" s="29"/>
      <c r="F20" s="45"/>
      <c r="G20" s="17"/>
      <c r="H20" s="95">
        <f t="shared" si="6"/>
        <v>4167.5</v>
      </c>
      <c r="I20" s="94">
        <f t="shared" si="7"/>
        <v>4002</v>
      </c>
      <c r="J20" s="94">
        <f t="shared" si="8"/>
        <v>3671.0000000000005</v>
      </c>
      <c r="K20" s="322">
        <f t="shared" si="9"/>
        <v>3439.3</v>
      </c>
      <c r="L20" s="100">
        <f t="shared" si="10"/>
        <v>3409.3</v>
      </c>
      <c r="N20" s="46">
        <f t="shared" si="11"/>
        <v>3340</v>
      </c>
      <c r="O20" s="46">
        <v>3310</v>
      </c>
    </row>
    <row r="21" spans="2:15" ht="22.5" customHeight="1" thickBot="1">
      <c r="B21" s="1689"/>
      <c r="C21" s="357" t="s">
        <v>563</v>
      </c>
      <c r="D21" s="14" t="s">
        <v>564</v>
      </c>
      <c r="E21" s="30"/>
      <c r="F21" s="63"/>
      <c r="G21" s="18"/>
      <c r="H21" s="96">
        <f t="shared" si="6"/>
        <v>5405</v>
      </c>
      <c r="I21" s="97">
        <f t="shared" si="7"/>
        <v>5190</v>
      </c>
      <c r="J21" s="97">
        <f t="shared" si="8"/>
        <v>4760</v>
      </c>
      <c r="K21" s="323">
        <f t="shared" si="9"/>
        <v>4459</v>
      </c>
      <c r="L21" s="101">
        <f t="shared" si="10"/>
        <v>4429</v>
      </c>
      <c r="N21" s="46">
        <f t="shared" si="11"/>
        <v>4330</v>
      </c>
      <c r="O21" s="46">
        <v>4300</v>
      </c>
    </row>
    <row r="22" spans="2:15" ht="15" customHeight="1">
      <c r="B22" s="55"/>
    </row>
    <row r="23" spans="2:15" ht="15" customHeight="1">
      <c r="B23" s="55"/>
    </row>
    <row r="24" spans="2:15" ht="15" customHeight="1">
      <c r="B24" s="55"/>
    </row>
    <row r="25" spans="2:15" ht="15" customHeight="1">
      <c r="B25" s="55"/>
    </row>
    <row r="26" spans="2:15" ht="15" customHeight="1">
      <c r="B26" s="55"/>
    </row>
    <row r="27" spans="2:15" ht="15" customHeight="1">
      <c r="B27" s="55"/>
    </row>
    <row r="28" spans="2:15" ht="15" customHeight="1">
      <c r="B28" s="55"/>
    </row>
  </sheetData>
  <customSheetViews>
    <customSheetView guid="{FBB3E572-A647-4B8C-96C7-F43FE4F7CAA8}" showPageBreaks="1" fitToPage="1" printArea="1" hiddenRows="1" hiddenColumns="1" view="pageBreakPreview" topLeftCell="A2">
      <pane ySplit="4" topLeftCell="A15"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1"/>
    </customSheetView>
    <customSheetView guid="{900EF7B2-0D63-4DE2-9CFC-2D2B3788802C}" showPageBreaks="1" fitToPage="1" printArea="1" hiddenRows="1" hiddenColumns="1" view="pageBreakPreview" topLeftCell="A2">
      <pane ySplit="4" topLeftCell="A6"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2"/>
    </customSheetView>
    <customSheetView guid="{CC6D6007-EFDE-464F-BD7C-A67043AC5D5C}" showPageBreaks="1" fitToPage="1" printArea="1" hiddenRows="1" hiddenColumns="1" view="pageBreakPreview" topLeftCell="A2">
      <pane ySplit="4" topLeftCell="A15"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3"/>
    </customSheetView>
    <customSheetView guid="{C0FE86CC-5BB4-4265-957F-F51B909B3E81}" showPageBreaks="1" fitToPage="1" printArea="1" hiddenRows="1" hiddenColumns="1" view="pageBreakPreview" topLeftCell="A2">
      <pane ySplit="4" topLeftCell="A15"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4"/>
    </customSheetView>
  </customSheetViews>
  <mergeCells count="24">
    <mergeCell ref="B13:B21"/>
    <mergeCell ref="N10:N12"/>
    <mergeCell ref="O10:O12"/>
    <mergeCell ref="E11:E12"/>
    <mergeCell ref="F11:F12"/>
    <mergeCell ref="G11:G12"/>
    <mergeCell ref="H11:K11"/>
    <mergeCell ref="B10:B12"/>
    <mergeCell ref="C10:C12"/>
    <mergeCell ref="D10:D12"/>
    <mergeCell ref="E10:G10"/>
    <mergeCell ref="H10:L10"/>
    <mergeCell ref="B3:B5"/>
    <mergeCell ref="B6:B9"/>
    <mergeCell ref="C3:C5"/>
    <mergeCell ref="D3:D5"/>
    <mergeCell ref="E3:G3"/>
    <mergeCell ref="O3:O5"/>
    <mergeCell ref="E4:E5"/>
    <mergeCell ref="F4:F5"/>
    <mergeCell ref="G4:G5"/>
    <mergeCell ref="H4:K4"/>
    <mergeCell ref="H3:L3"/>
    <mergeCell ref="N3:N5"/>
  </mergeCells>
  <pageMargins left="0.62" right="0.27559055118110237" top="0.39370078740157483" bottom="0.23622047244094491" header="0.31496062992125984" footer="0.19685039370078741"/>
  <pageSetup paperSize="9" scale="85" orientation="landscape" verticalDpi="0" r:id="rId5"/>
  <legacyDrawing r:id="rId6"/>
</worksheet>
</file>

<file path=xl/worksheets/sheet17.xml><?xml version="1.0" encoding="utf-8"?>
<worksheet xmlns="http://schemas.openxmlformats.org/spreadsheetml/2006/main" xmlns:r="http://schemas.openxmlformats.org/officeDocument/2006/relationships">
  <sheetPr codeName="Лист9">
    <tabColor rgb="FF00B050"/>
  </sheetPr>
  <dimension ref="B1:P181"/>
  <sheetViews>
    <sheetView view="pageBreakPreview" zoomScaleNormal="90" zoomScaleSheetLayoutView="100" workbookViewId="0">
      <pane ySplit="5" topLeftCell="A42" activePane="bottomLeft" state="frozen"/>
      <selection pane="bottomLeft" activeCell="B3" sqref="B3:B5"/>
    </sheetView>
  </sheetViews>
  <sheetFormatPr defaultRowHeight="15"/>
  <cols>
    <col min="1" max="1" width="0.42578125" style="1" customWidth="1"/>
    <col min="2" max="2" width="66.28515625" style="49" customWidth="1"/>
    <col min="3" max="4" width="10" style="74" bestFit="1" customWidth="1"/>
    <col min="5" max="5" width="10.85546875" style="2" customWidth="1"/>
    <col min="6" max="6" width="10.140625" style="2" hidden="1" customWidth="1"/>
    <col min="7" max="7" width="9.140625" style="2" hidden="1" customWidth="1"/>
    <col min="8" max="8" width="10.28515625" style="2" hidden="1" customWidth="1"/>
    <col min="9" max="9" width="10.28515625" style="81" hidden="1" customWidth="1"/>
    <col min="10" max="10" width="10.85546875" style="2" hidden="1" customWidth="1"/>
    <col min="11" max="11" width="3.140625" style="65" hidden="1" customWidth="1"/>
    <col min="12" max="12" width="10.42578125" style="46" hidden="1" customWidth="1"/>
    <col min="13" max="13" width="0.140625" style="78" hidden="1" customWidth="1"/>
    <col min="14" max="14" width="12.28515625" style="76" hidden="1" customWidth="1"/>
    <col min="15" max="15" width="8.28515625" style="1" hidden="1" customWidth="1"/>
    <col min="16" max="16" width="9.140625" style="1" hidden="1" customWidth="1"/>
    <col min="17" max="16384" width="9.140625" style="1"/>
  </cols>
  <sheetData>
    <row r="1" spans="2:14" ht="1.5" customHeight="1">
      <c r="B1" s="82"/>
      <c r="C1" s="83"/>
      <c r="D1" s="83"/>
      <c r="E1" s="84"/>
      <c r="F1" s="84"/>
      <c r="G1" s="84"/>
      <c r="H1" s="84"/>
      <c r="I1" s="84"/>
    </row>
    <row r="2" spans="2:14" ht="15.75" thickBot="1">
      <c r="B2" s="82" t="s">
        <v>930</v>
      </c>
      <c r="C2" s="83"/>
      <c r="D2" s="83"/>
      <c r="E2" s="84"/>
      <c r="F2" s="84"/>
      <c r="G2" s="84"/>
      <c r="H2" s="84"/>
      <c r="I2" s="84"/>
    </row>
    <row r="3" spans="2:14" s="40" customFormat="1" ht="18" customHeight="1" thickBot="1">
      <c r="B3" s="1618" t="s">
        <v>2441</v>
      </c>
      <c r="C3" s="1632" t="s">
        <v>140</v>
      </c>
      <c r="D3" s="1632" t="s">
        <v>99</v>
      </c>
      <c r="E3" s="1648" t="s">
        <v>113</v>
      </c>
      <c r="F3" s="1663" t="s">
        <v>114</v>
      </c>
      <c r="G3" s="1663"/>
      <c r="H3" s="1663"/>
      <c r="I3" s="1663"/>
      <c r="J3" s="1672"/>
      <c r="K3" s="70"/>
      <c r="L3" s="1664" t="s">
        <v>239</v>
      </c>
      <c r="M3" s="1692" t="s">
        <v>36</v>
      </c>
      <c r="N3" s="1665" t="s">
        <v>105</v>
      </c>
    </row>
    <row r="4" spans="2:14" s="40" customFormat="1" ht="18" thickBot="1">
      <c r="B4" s="1619"/>
      <c r="C4" s="1683"/>
      <c r="D4" s="1712"/>
      <c r="E4" s="1649"/>
      <c r="F4" s="1680" t="s">
        <v>38</v>
      </c>
      <c r="G4" s="1680"/>
      <c r="H4" s="1680"/>
      <c r="I4" s="1681"/>
      <c r="J4" s="105" t="s">
        <v>22</v>
      </c>
      <c r="K4" s="70"/>
      <c r="L4" s="1664"/>
      <c r="M4" s="1692"/>
      <c r="N4" s="1665"/>
    </row>
    <row r="5" spans="2:14" s="40" customFormat="1" ht="18" thickBot="1">
      <c r="B5" s="1620"/>
      <c r="C5" s="1684"/>
      <c r="D5" s="1684"/>
      <c r="E5" s="1650"/>
      <c r="F5" s="114" t="s">
        <v>101</v>
      </c>
      <c r="G5" s="75" t="s">
        <v>102</v>
      </c>
      <c r="H5" s="254" t="s">
        <v>103</v>
      </c>
      <c r="I5" s="254" t="s">
        <v>104</v>
      </c>
      <c r="J5" s="106" t="s">
        <v>104</v>
      </c>
      <c r="K5" s="70"/>
      <c r="L5" s="1664"/>
      <c r="M5" s="1692"/>
      <c r="N5" s="1665"/>
    </row>
    <row r="6" spans="2:14" ht="15.75" thickBot="1">
      <c r="B6" s="1704" t="s">
        <v>2442</v>
      </c>
      <c r="C6" s="1705"/>
      <c r="D6" s="1705"/>
      <c r="E6" s="1705"/>
      <c r="F6" s="1710"/>
      <c r="G6" s="1710"/>
      <c r="H6" s="1710"/>
      <c r="I6" s="1710"/>
      <c r="J6" s="1711"/>
    </row>
    <row r="7" spans="2:14" s="64" customFormat="1">
      <c r="B7" s="115" t="s">
        <v>97</v>
      </c>
      <c r="C7" s="128" t="s">
        <v>98</v>
      </c>
      <c r="D7" s="71" t="s">
        <v>100</v>
      </c>
      <c r="E7" s="136">
        <f>(N7*50+17.5)*1.25</f>
        <v>224.19274999999999</v>
      </c>
      <c r="F7" s="111">
        <f>L7*1.2</f>
        <v>4.7845008</v>
      </c>
      <c r="G7" s="112">
        <f>(L7)*1.15</f>
        <v>4.5851465999999999</v>
      </c>
      <c r="H7" s="113">
        <f>(L7)*1.1</f>
        <v>4.3857924000000006</v>
      </c>
      <c r="I7" s="107">
        <f>(L7)*1.03</f>
        <v>4.1066965199999999</v>
      </c>
      <c r="J7" s="137">
        <f>N7*1.03</f>
        <v>3.3341965199999999</v>
      </c>
      <c r="K7" s="66"/>
      <c r="L7" s="69">
        <f>N7+0.75</f>
        <v>3.9870839999999999</v>
      </c>
      <c r="M7" s="79">
        <f>157.14*1.03</f>
        <v>161.85419999999999</v>
      </c>
      <c r="N7" s="77">
        <f>M7/C7</f>
        <v>3.2370839999999999</v>
      </c>
    </row>
    <row r="8" spans="2:14" s="64" customFormat="1">
      <c r="B8" s="116" t="s">
        <v>97</v>
      </c>
      <c r="C8" s="128" t="s">
        <v>106</v>
      </c>
      <c r="D8" s="71" t="s">
        <v>107</v>
      </c>
      <c r="E8" s="136">
        <f>(N8*25+17.5)*1.25</f>
        <v>138.65125</v>
      </c>
      <c r="F8" s="67">
        <f t="shared" ref="F8:F39" si="0">L8*1.2</f>
        <v>5.384208000000001</v>
      </c>
      <c r="G8" s="68">
        <f t="shared" ref="G8:G39" si="1">(L8)*1.15</f>
        <v>5.159866000000001</v>
      </c>
      <c r="H8" s="80">
        <f t="shared" ref="H8:H39" si="2">(L8)*1.1</f>
        <v>4.9355240000000009</v>
      </c>
      <c r="I8" s="108">
        <f t="shared" ref="I8:I39" si="3">(L8)*1.03</f>
        <v>4.621445200000001</v>
      </c>
      <c r="J8" s="138">
        <f>N8*1.03</f>
        <v>3.8489452000000006</v>
      </c>
      <c r="K8" s="66"/>
      <c r="L8" s="69">
        <f t="shared" ref="L8:L39" si="4">N8+0.75</f>
        <v>4.4868400000000008</v>
      </c>
      <c r="M8" s="79">
        <f>90.7*1.03</f>
        <v>93.421000000000006</v>
      </c>
      <c r="N8" s="77">
        <f>M8/25</f>
        <v>3.7368400000000004</v>
      </c>
    </row>
    <row r="9" spans="2:14" s="64" customFormat="1">
      <c r="B9" s="116" t="s">
        <v>108</v>
      </c>
      <c r="C9" s="129" t="s">
        <v>106</v>
      </c>
      <c r="D9" s="72" t="s">
        <v>107</v>
      </c>
      <c r="E9" s="136">
        <f>(N9*25+17.5)*1.25</f>
        <v>370.94200000000001</v>
      </c>
      <c r="F9" s="67">
        <f t="shared" si="0"/>
        <v>14.3041728</v>
      </c>
      <c r="G9" s="68">
        <f t="shared" si="1"/>
        <v>13.708165599999999</v>
      </c>
      <c r="H9" s="80">
        <f t="shared" si="2"/>
        <v>13.112158400000002</v>
      </c>
      <c r="I9" s="108">
        <f t="shared" si="3"/>
        <v>12.277748320000001</v>
      </c>
      <c r="J9" s="138">
        <f>N9*1.03</f>
        <v>11.505248320000002</v>
      </c>
      <c r="K9" s="66"/>
      <c r="L9" s="69">
        <f t="shared" si="4"/>
        <v>11.920144000000001</v>
      </c>
      <c r="M9" s="79">
        <f>271.12*1.03</f>
        <v>279.25360000000001</v>
      </c>
      <c r="N9" s="77">
        <f>M9/25</f>
        <v>11.170144000000001</v>
      </c>
    </row>
    <row r="10" spans="2:14" s="64" customFormat="1">
      <c r="B10" s="116" t="s">
        <v>110</v>
      </c>
      <c r="C10" s="130" t="s">
        <v>111</v>
      </c>
      <c r="D10" s="73" t="s">
        <v>119</v>
      </c>
      <c r="E10" s="136">
        <f>(N10*30+21)*1.25</f>
        <v>357.20187500000003</v>
      </c>
      <c r="F10" s="67">
        <f t="shared" si="0"/>
        <v>11.490459999999999</v>
      </c>
      <c r="G10" s="68">
        <f t="shared" si="1"/>
        <v>11.011690833333333</v>
      </c>
      <c r="H10" s="80">
        <f t="shared" si="2"/>
        <v>10.532921666666667</v>
      </c>
      <c r="I10" s="108">
        <f t="shared" si="3"/>
        <v>9.8626448333333325</v>
      </c>
      <c r="J10" s="138">
        <f t="shared" ref="J10:J39" si="5">N10*1.03</f>
        <v>9.0901448333333335</v>
      </c>
      <c r="K10" s="66"/>
      <c r="L10" s="69">
        <f t="shared" si="4"/>
        <v>9.5753833333333329</v>
      </c>
      <c r="M10" s="79">
        <f>257.05*1.03</f>
        <v>264.76150000000001</v>
      </c>
      <c r="N10" s="77">
        <f>M10/30</f>
        <v>8.8253833333333329</v>
      </c>
    </row>
    <row r="11" spans="2:14" s="64" customFormat="1">
      <c r="B11" s="116" t="s">
        <v>112</v>
      </c>
      <c r="C11" s="129" t="s">
        <v>111</v>
      </c>
      <c r="D11" s="72" t="s">
        <v>119</v>
      </c>
      <c r="E11" s="136">
        <f>(N11*30+21)*1.25</f>
        <v>344.71312499999999</v>
      </c>
      <c r="F11" s="67">
        <f t="shared" si="0"/>
        <v>11.090819999999999</v>
      </c>
      <c r="G11" s="68">
        <f t="shared" si="1"/>
        <v>10.628702499999999</v>
      </c>
      <c r="H11" s="80">
        <f t="shared" si="2"/>
        <v>10.166585000000001</v>
      </c>
      <c r="I11" s="108">
        <f t="shared" si="3"/>
        <v>9.5196205000000003</v>
      </c>
      <c r="J11" s="138">
        <f t="shared" si="5"/>
        <v>8.7471204999999994</v>
      </c>
      <c r="K11" s="66"/>
      <c r="L11" s="69">
        <f t="shared" si="4"/>
        <v>9.2423500000000001</v>
      </c>
      <c r="M11" s="79">
        <f>247.35*1.03</f>
        <v>254.7705</v>
      </c>
      <c r="N11" s="77">
        <f>M11/30</f>
        <v>8.4923500000000001</v>
      </c>
    </row>
    <row r="12" spans="2:14" s="64" customFormat="1">
      <c r="B12" s="116" t="s">
        <v>115</v>
      </c>
      <c r="C12" s="130" t="s">
        <v>98</v>
      </c>
      <c r="D12" s="73" t="s">
        <v>116</v>
      </c>
      <c r="E12" s="136">
        <f>(N12*50+35)*1.25</f>
        <v>237.325625</v>
      </c>
      <c r="F12" s="67">
        <f t="shared" si="0"/>
        <v>4.6166520000000002</v>
      </c>
      <c r="G12" s="68">
        <f t="shared" si="1"/>
        <v>4.4242914999999998</v>
      </c>
      <c r="H12" s="80">
        <f t="shared" si="2"/>
        <v>4.2319310000000003</v>
      </c>
      <c r="I12" s="108">
        <f t="shared" si="3"/>
        <v>3.9626263000000002</v>
      </c>
      <c r="J12" s="138">
        <f t="shared" si="5"/>
        <v>3.1901263000000002</v>
      </c>
      <c r="K12" s="66"/>
      <c r="L12" s="69">
        <f t="shared" si="4"/>
        <v>3.84721</v>
      </c>
      <c r="M12" s="79">
        <f>150.35*1.03</f>
        <v>154.8605</v>
      </c>
      <c r="N12" s="77">
        <f>M12/50</f>
        <v>3.09721</v>
      </c>
    </row>
    <row r="13" spans="2:14" s="64" customFormat="1">
      <c r="B13" s="116" t="s">
        <v>117</v>
      </c>
      <c r="C13" s="129" t="s">
        <v>106</v>
      </c>
      <c r="D13" s="72" t="s">
        <v>107</v>
      </c>
      <c r="E13" s="136">
        <f t="shared" ref="E13:E39" si="6">(N13*25+17.5)*1.25</f>
        <v>126.16250000000001</v>
      </c>
      <c r="F13" s="67">
        <f t="shared" si="0"/>
        <v>4.9046399999999997</v>
      </c>
      <c r="G13" s="68">
        <f t="shared" si="1"/>
        <v>4.7002800000000002</v>
      </c>
      <c r="H13" s="80">
        <f t="shared" si="2"/>
        <v>4.4959200000000008</v>
      </c>
      <c r="I13" s="108">
        <f t="shared" si="3"/>
        <v>4.209816</v>
      </c>
      <c r="J13" s="138">
        <f t="shared" si="5"/>
        <v>3.437316</v>
      </c>
      <c r="K13" s="66"/>
      <c r="L13" s="69">
        <f t="shared" si="4"/>
        <v>4.0872000000000002</v>
      </c>
      <c r="M13" s="79">
        <f>81*1.03</f>
        <v>83.43</v>
      </c>
      <c r="N13" s="77">
        <f>M13/25</f>
        <v>3.3372000000000002</v>
      </c>
    </row>
    <row r="14" spans="2:14" s="64" customFormat="1">
      <c r="B14" s="116" t="s">
        <v>117</v>
      </c>
      <c r="C14" s="130" t="s">
        <v>118</v>
      </c>
      <c r="D14" s="73" t="s">
        <v>98</v>
      </c>
      <c r="E14" s="136">
        <f>(N14*40+28)*1.25</f>
        <v>184.35000000000002</v>
      </c>
      <c r="F14" s="67">
        <f t="shared" si="0"/>
        <v>4.4843999999999999</v>
      </c>
      <c r="G14" s="68">
        <f t="shared" si="1"/>
        <v>4.2975500000000002</v>
      </c>
      <c r="H14" s="80">
        <f t="shared" si="2"/>
        <v>4.1107000000000005</v>
      </c>
      <c r="I14" s="108">
        <f t="shared" si="3"/>
        <v>3.84911</v>
      </c>
      <c r="J14" s="138">
        <f t="shared" si="5"/>
        <v>3.0766100000000001</v>
      </c>
      <c r="K14" s="66"/>
      <c r="L14" s="69">
        <f t="shared" si="4"/>
        <v>3.7370000000000001</v>
      </c>
      <c r="M14" s="79">
        <f>116*1.03</f>
        <v>119.48</v>
      </c>
      <c r="N14" s="77">
        <f>M14/40</f>
        <v>2.9870000000000001</v>
      </c>
    </row>
    <row r="15" spans="2:14" s="64" customFormat="1">
      <c r="B15" s="116" t="s">
        <v>117</v>
      </c>
      <c r="C15" s="129" t="s">
        <v>98</v>
      </c>
      <c r="D15" s="72" t="s">
        <v>100</v>
      </c>
      <c r="E15" s="136">
        <f>(N15*50+35)*1.25</f>
        <v>228.66250000000002</v>
      </c>
      <c r="F15" s="67">
        <f t="shared" si="0"/>
        <v>4.4503199999999996</v>
      </c>
      <c r="G15" s="68">
        <f t="shared" si="1"/>
        <v>4.2648899999999994</v>
      </c>
      <c r="H15" s="80">
        <f t="shared" si="2"/>
        <v>4.0794600000000001</v>
      </c>
      <c r="I15" s="108">
        <f t="shared" si="3"/>
        <v>3.8198580000000004</v>
      </c>
      <c r="J15" s="138">
        <f t="shared" si="5"/>
        <v>3.047358</v>
      </c>
      <c r="K15" s="66"/>
      <c r="L15" s="69">
        <f t="shared" si="4"/>
        <v>3.7086000000000001</v>
      </c>
      <c r="M15" s="79">
        <v>147.93</v>
      </c>
      <c r="N15" s="77">
        <f t="shared" ref="N15:N39" si="7">M15/50</f>
        <v>2.9586000000000001</v>
      </c>
    </row>
    <row r="16" spans="2:14" s="64" customFormat="1">
      <c r="B16" s="116" t="s">
        <v>120</v>
      </c>
      <c r="C16" s="130" t="s">
        <v>121</v>
      </c>
      <c r="D16" s="73" t="s">
        <v>133</v>
      </c>
      <c r="E16" s="136">
        <f>(N16*20+14)*1.25</f>
        <v>395.90912500000002</v>
      </c>
      <c r="F16" s="67">
        <f t="shared" si="0"/>
        <v>19.063638000000001</v>
      </c>
      <c r="G16" s="68">
        <f t="shared" si="1"/>
        <v>18.269319750000001</v>
      </c>
      <c r="H16" s="80">
        <f t="shared" si="2"/>
        <v>17.475001500000001</v>
      </c>
      <c r="I16" s="108">
        <f t="shared" si="3"/>
        <v>16.362955950000003</v>
      </c>
      <c r="J16" s="138">
        <f t="shared" si="5"/>
        <v>15.590455950000003</v>
      </c>
      <c r="K16" s="66"/>
      <c r="L16" s="69">
        <f t="shared" si="4"/>
        <v>15.886365000000001</v>
      </c>
      <c r="M16" s="79">
        <f>293.91*1.03</f>
        <v>302.72730000000001</v>
      </c>
      <c r="N16" s="77">
        <f>M16/20</f>
        <v>15.136365000000001</v>
      </c>
    </row>
    <row r="17" spans="2:14" s="64" customFormat="1">
      <c r="B17" s="116" t="s">
        <v>122</v>
      </c>
      <c r="C17" s="129" t="s">
        <v>123</v>
      </c>
      <c r="D17" s="72" t="s">
        <v>149</v>
      </c>
      <c r="E17" s="136">
        <f>(N17*15+10.5)*1.25</f>
        <v>262.89999999999998</v>
      </c>
      <c r="F17" s="67">
        <f t="shared" si="0"/>
        <v>16.8856</v>
      </c>
      <c r="G17" s="68">
        <f t="shared" si="1"/>
        <v>16.182033333333333</v>
      </c>
      <c r="H17" s="80">
        <f t="shared" si="2"/>
        <v>15.478466666666668</v>
      </c>
      <c r="I17" s="108">
        <f t="shared" si="3"/>
        <v>14.493473333333334</v>
      </c>
      <c r="J17" s="138">
        <f t="shared" si="5"/>
        <v>13.720973333333333</v>
      </c>
      <c r="K17" s="66"/>
      <c r="L17" s="69">
        <f t="shared" si="4"/>
        <v>14.071333333333333</v>
      </c>
      <c r="M17" s="79">
        <f>194*1.03</f>
        <v>199.82</v>
      </c>
      <c r="N17" s="77">
        <f>M17/15</f>
        <v>13.321333333333333</v>
      </c>
    </row>
    <row r="18" spans="2:14" s="64" customFormat="1">
      <c r="B18" s="116" t="s">
        <v>124</v>
      </c>
      <c r="C18" s="130" t="s">
        <v>121</v>
      </c>
      <c r="D18" s="73" t="s">
        <v>133</v>
      </c>
      <c r="E18" s="136">
        <f>(N18*20+14)*1.25</f>
        <v>423.38437499999998</v>
      </c>
      <c r="F18" s="67">
        <f t="shared" si="0"/>
        <v>20.382449999999995</v>
      </c>
      <c r="G18" s="68">
        <f t="shared" si="1"/>
        <v>19.533181249999995</v>
      </c>
      <c r="H18" s="80">
        <f t="shared" si="2"/>
        <v>18.683912499999998</v>
      </c>
      <c r="I18" s="108">
        <f t="shared" si="3"/>
        <v>17.494936249999999</v>
      </c>
      <c r="J18" s="138">
        <f t="shared" si="5"/>
        <v>16.722436249999998</v>
      </c>
      <c r="K18" s="66"/>
      <c r="L18" s="69">
        <f t="shared" si="4"/>
        <v>16.985374999999998</v>
      </c>
      <c r="M18" s="79">
        <f>315.25*1.03</f>
        <v>324.70749999999998</v>
      </c>
      <c r="N18" s="77">
        <f>M18/20</f>
        <v>16.235374999999998</v>
      </c>
    </row>
    <row r="19" spans="2:14" s="64" customFormat="1">
      <c r="B19" s="116" t="s">
        <v>125</v>
      </c>
      <c r="C19" s="129" t="s">
        <v>98</v>
      </c>
      <c r="D19" s="72" t="s">
        <v>111</v>
      </c>
      <c r="E19" s="136">
        <f>(N19*50+34)*1.25</f>
        <v>282.28399999999999</v>
      </c>
      <c r="F19" s="67">
        <f t="shared" si="0"/>
        <v>5.5038527999999998</v>
      </c>
      <c r="G19" s="68">
        <f t="shared" si="1"/>
        <v>5.2745255999999996</v>
      </c>
      <c r="H19" s="80">
        <f t="shared" si="2"/>
        <v>5.0451984000000003</v>
      </c>
      <c r="I19" s="108">
        <f t="shared" si="3"/>
        <v>4.7241403200000001</v>
      </c>
      <c r="J19" s="138">
        <f t="shared" si="5"/>
        <v>3.9516403200000001</v>
      </c>
      <c r="K19" s="66"/>
      <c r="L19" s="69">
        <f t="shared" si="4"/>
        <v>4.586544</v>
      </c>
      <c r="M19" s="79">
        <f>186.24*1.03</f>
        <v>191.8272</v>
      </c>
      <c r="N19" s="77">
        <f t="shared" si="7"/>
        <v>3.836544</v>
      </c>
    </row>
    <row r="20" spans="2:14" s="64" customFormat="1">
      <c r="B20" s="116" t="s">
        <v>126</v>
      </c>
      <c r="C20" s="130" t="s">
        <v>111</v>
      </c>
      <c r="D20" s="73" t="s">
        <v>98</v>
      </c>
      <c r="E20" s="136">
        <f>(N20*30+21)*1.25</f>
        <v>377.183875</v>
      </c>
      <c r="F20" s="67">
        <f t="shared" si="0"/>
        <v>12.129883999999999</v>
      </c>
      <c r="G20" s="68">
        <f t="shared" si="1"/>
        <v>11.624472166666665</v>
      </c>
      <c r="H20" s="80">
        <f t="shared" si="2"/>
        <v>11.119060333333334</v>
      </c>
      <c r="I20" s="108">
        <f t="shared" si="3"/>
        <v>10.411483766666667</v>
      </c>
      <c r="J20" s="138">
        <f t="shared" si="5"/>
        <v>9.6389837666666676</v>
      </c>
      <c r="K20" s="66"/>
      <c r="L20" s="69">
        <f t="shared" si="4"/>
        <v>10.108236666666667</v>
      </c>
      <c r="M20" s="79">
        <f>272.57*1.03</f>
        <v>280.74709999999999</v>
      </c>
      <c r="N20" s="77">
        <f>M20/30</f>
        <v>9.3582366666666665</v>
      </c>
    </row>
    <row r="21" spans="2:14" s="64" customFormat="1">
      <c r="B21" s="116" t="s">
        <v>127</v>
      </c>
      <c r="C21" s="129" t="s">
        <v>111</v>
      </c>
      <c r="D21" s="72" t="s">
        <v>98</v>
      </c>
      <c r="E21" s="136">
        <f>(N21*30+21)*1.25</f>
        <v>332.22437500000001</v>
      </c>
      <c r="F21" s="67">
        <f t="shared" si="0"/>
        <v>10.691180000000001</v>
      </c>
      <c r="G21" s="68">
        <f t="shared" si="1"/>
        <v>10.245714166666666</v>
      </c>
      <c r="H21" s="80">
        <f t="shared" si="2"/>
        <v>9.8002483333333341</v>
      </c>
      <c r="I21" s="108">
        <f t="shared" si="3"/>
        <v>9.176596166666668</v>
      </c>
      <c r="J21" s="138">
        <f t="shared" si="5"/>
        <v>8.4040961666666671</v>
      </c>
      <c r="K21" s="66"/>
      <c r="L21" s="69">
        <f t="shared" si="4"/>
        <v>8.9093166666666672</v>
      </c>
      <c r="M21" s="79">
        <f>237.65*1.03</f>
        <v>244.77950000000001</v>
      </c>
      <c r="N21" s="77">
        <f>M21/30</f>
        <v>8.1593166666666672</v>
      </c>
    </row>
    <row r="22" spans="2:14" s="64" customFormat="1">
      <c r="B22" s="116" t="s">
        <v>128</v>
      </c>
      <c r="C22" s="130" t="s">
        <v>106</v>
      </c>
      <c r="D22" s="73" t="s">
        <v>107</v>
      </c>
      <c r="E22" s="136">
        <f t="shared" si="6"/>
        <v>234.18375</v>
      </c>
      <c r="F22" s="67">
        <f t="shared" si="0"/>
        <v>9.0526560000000007</v>
      </c>
      <c r="G22" s="68">
        <f t="shared" si="1"/>
        <v>8.6754619999999996</v>
      </c>
      <c r="H22" s="80">
        <f t="shared" si="2"/>
        <v>8.298268000000002</v>
      </c>
      <c r="I22" s="108">
        <f t="shared" si="3"/>
        <v>7.7701964000000006</v>
      </c>
      <c r="J22" s="138">
        <f t="shared" si="5"/>
        <v>6.9976964000000006</v>
      </c>
      <c r="K22" s="66"/>
      <c r="L22" s="69">
        <f t="shared" si="4"/>
        <v>7.5438800000000006</v>
      </c>
      <c r="M22" s="79">
        <f>164.9*1.03</f>
        <v>169.84700000000001</v>
      </c>
      <c r="N22" s="77">
        <f>M22/25</f>
        <v>6.7938800000000006</v>
      </c>
    </row>
    <row r="23" spans="2:14" s="64" customFormat="1">
      <c r="B23" s="116" t="s">
        <v>129</v>
      </c>
      <c r="C23" s="129" t="s">
        <v>106</v>
      </c>
      <c r="D23" s="72" t="s">
        <v>107</v>
      </c>
      <c r="E23" s="136">
        <f t="shared" si="6"/>
        <v>250.41912499999998</v>
      </c>
      <c r="F23" s="67">
        <f t="shared" si="0"/>
        <v>9.6760943999999984</v>
      </c>
      <c r="G23" s="68">
        <f t="shared" si="1"/>
        <v>9.2729237999999992</v>
      </c>
      <c r="H23" s="80">
        <f t="shared" si="2"/>
        <v>8.8697531999999999</v>
      </c>
      <c r="I23" s="108">
        <f t="shared" si="3"/>
        <v>8.3053143600000006</v>
      </c>
      <c r="J23" s="138">
        <f t="shared" si="5"/>
        <v>7.5328143599999997</v>
      </c>
      <c r="K23" s="66"/>
      <c r="L23" s="69">
        <f t="shared" si="4"/>
        <v>8.0634119999999996</v>
      </c>
      <c r="M23" s="79">
        <f>177.51*1.03</f>
        <v>182.83529999999999</v>
      </c>
      <c r="N23" s="77">
        <f>M23/25</f>
        <v>7.3134119999999996</v>
      </c>
    </row>
    <row r="24" spans="2:14" s="64" customFormat="1">
      <c r="B24" s="116" t="s">
        <v>130</v>
      </c>
      <c r="C24" s="130" t="s">
        <v>106</v>
      </c>
      <c r="D24" s="73" t="s">
        <v>107</v>
      </c>
      <c r="E24" s="136">
        <f t="shared" si="6"/>
        <v>396.53750000000002</v>
      </c>
      <c r="F24" s="67">
        <f t="shared" si="0"/>
        <v>15.287039999999999</v>
      </c>
      <c r="G24" s="68">
        <f t="shared" si="1"/>
        <v>14.650079999999999</v>
      </c>
      <c r="H24" s="80">
        <f t="shared" si="2"/>
        <v>14.013120000000001</v>
      </c>
      <c r="I24" s="108">
        <f t="shared" si="3"/>
        <v>13.121376000000001</v>
      </c>
      <c r="J24" s="138">
        <f t="shared" si="5"/>
        <v>12.348876000000001</v>
      </c>
      <c r="K24" s="66"/>
      <c r="L24" s="69">
        <f t="shared" si="4"/>
        <v>12.7392</v>
      </c>
      <c r="M24" s="79">
        <f>291*1.03</f>
        <v>299.73</v>
      </c>
      <c r="N24" s="77">
        <f>M24/25</f>
        <v>11.9892</v>
      </c>
    </row>
    <row r="25" spans="2:14" s="64" customFormat="1">
      <c r="B25" s="116" t="s">
        <v>131</v>
      </c>
      <c r="C25" s="129" t="s">
        <v>123</v>
      </c>
      <c r="D25" s="72" t="s">
        <v>149</v>
      </c>
      <c r="E25" s="136">
        <f>(N25*15+14)*1.25</f>
        <v>157.37400000000002</v>
      </c>
      <c r="F25" s="67">
        <f t="shared" si="0"/>
        <v>9.8519360000000002</v>
      </c>
      <c r="G25" s="68">
        <f t="shared" si="1"/>
        <v>9.4414386666666665</v>
      </c>
      <c r="H25" s="80">
        <f t="shared" si="2"/>
        <v>9.0309413333333346</v>
      </c>
      <c r="I25" s="108">
        <f t="shared" si="3"/>
        <v>8.4562450666666678</v>
      </c>
      <c r="J25" s="138">
        <f t="shared" si="5"/>
        <v>7.6837450666666678</v>
      </c>
      <c r="K25" s="66"/>
      <c r="L25" s="69">
        <f t="shared" si="4"/>
        <v>8.2099466666666672</v>
      </c>
      <c r="M25" s="79">
        <f>108.64*1.03</f>
        <v>111.89920000000001</v>
      </c>
      <c r="N25" s="77">
        <f>M25/15</f>
        <v>7.4599466666666672</v>
      </c>
    </row>
    <row r="26" spans="2:14" s="64" customFormat="1">
      <c r="B26" s="116" t="s">
        <v>132</v>
      </c>
      <c r="C26" s="130" t="s">
        <v>121</v>
      </c>
      <c r="D26" s="73" t="s">
        <v>133</v>
      </c>
      <c r="E26" s="136">
        <f>(N26*20+14)*1.25</f>
        <v>711.87450000000013</v>
      </c>
      <c r="F26" s="67">
        <f t="shared" si="0"/>
        <v>34.229976000000008</v>
      </c>
      <c r="G26" s="68">
        <f t="shared" si="1"/>
        <v>32.803727000000002</v>
      </c>
      <c r="H26" s="80">
        <f t="shared" si="2"/>
        <v>31.377478000000011</v>
      </c>
      <c r="I26" s="108">
        <f t="shared" si="3"/>
        <v>29.380729400000007</v>
      </c>
      <c r="J26" s="138">
        <f t="shared" si="5"/>
        <v>28.608229400000006</v>
      </c>
      <c r="K26" s="66"/>
      <c r="L26" s="69">
        <f t="shared" si="4"/>
        <v>28.524980000000006</v>
      </c>
      <c r="M26" s="79">
        <f>539.32*1.03</f>
        <v>555.4996000000001</v>
      </c>
      <c r="N26" s="77">
        <f>M26/20</f>
        <v>27.774980000000006</v>
      </c>
    </row>
    <row r="27" spans="2:14" s="64" customFormat="1" ht="15.75" thickBot="1">
      <c r="B27" s="116" t="s">
        <v>134</v>
      </c>
      <c r="C27" s="129" t="s">
        <v>121</v>
      </c>
      <c r="D27" s="72" t="s">
        <v>133</v>
      </c>
      <c r="E27" s="136">
        <f>(N27*20+14)*1.25</f>
        <v>274.12450000000001</v>
      </c>
      <c r="F27" s="67">
        <f t="shared" si="0"/>
        <v>13.217975999999998</v>
      </c>
      <c r="G27" s="68">
        <f t="shared" si="1"/>
        <v>12.667226999999999</v>
      </c>
      <c r="H27" s="80">
        <f t="shared" si="2"/>
        <v>12.116478000000001</v>
      </c>
      <c r="I27" s="108">
        <f t="shared" si="3"/>
        <v>11.3454294</v>
      </c>
      <c r="J27" s="138">
        <f t="shared" si="5"/>
        <v>10.5729294</v>
      </c>
      <c r="K27" s="66"/>
      <c r="L27" s="69">
        <f t="shared" si="4"/>
        <v>11.01498</v>
      </c>
      <c r="M27" s="79">
        <f>199.32*1.03</f>
        <v>205.2996</v>
      </c>
      <c r="N27" s="77">
        <f>M27/20</f>
        <v>10.26498</v>
      </c>
    </row>
    <row r="28" spans="2:14" s="64" customFormat="1" ht="15.75" thickBot="1">
      <c r="B28" s="1707" t="s">
        <v>135</v>
      </c>
      <c r="C28" s="1708"/>
      <c r="D28" s="1708"/>
      <c r="E28" s="1708"/>
      <c r="F28" s="1708"/>
      <c r="G28" s="1708"/>
      <c r="H28" s="1708"/>
      <c r="I28" s="1708"/>
      <c r="J28" s="1709"/>
      <c r="K28" s="66"/>
      <c r="L28" s="69"/>
      <c r="M28" s="79"/>
      <c r="N28" s="77"/>
    </row>
    <row r="29" spans="2:14" s="64" customFormat="1">
      <c r="B29" s="118" t="s">
        <v>137</v>
      </c>
      <c r="C29" s="131" t="s">
        <v>121</v>
      </c>
      <c r="D29" s="119" t="s">
        <v>133</v>
      </c>
      <c r="E29" s="136">
        <f>(N29*20+14)*1.25</f>
        <v>1553.4875</v>
      </c>
      <c r="F29" s="67">
        <f t="shared" si="0"/>
        <v>74.627399999999994</v>
      </c>
      <c r="G29" s="68">
        <f t="shared" si="1"/>
        <v>71.517924999999991</v>
      </c>
      <c r="H29" s="80">
        <f t="shared" si="2"/>
        <v>68.408450000000002</v>
      </c>
      <c r="I29" s="110">
        <f t="shared" si="3"/>
        <v>64.055184999999994</v>
      </c>
      <c r="J29" s="138">
        <f t="shared" si="5"/>
        <v>63.282684999999994</v>
      </c>
      <c r="K29" s="66"/>
      <c r="L29" s="69">
        <f t="shared" si="4"/>
        <v>62.189499999999995</v>
      </c>
      <c r="M29" s="79">
        <f>1193*1.03</f>
        <v>1228.79</v>
      </c>
      <c r="N29" s="77">
        <f>M29/20</f>
        <v>61.439499999999995</v>
      </c>
    </row>
    <row r="30" spans="2:14" s="64" customFormat="1">
      <c r="B30" s="116" t="s">
        <v>137</v>
      </c>
      <c r="C30" s="130" t="s">
        <v>138</v>
      </c>
      <c r="D30" s="73" t="s">
        <v>150</v>
      </c>
      <c r="E30" s="136">
        <f>(N30*6+4.2)*1.25</f>
        <v>471.080375</v>
      </c>
      <c r="F30" s="67">
        <f t="shared" si="0"/>
        <v>75.432860000000005</v>
      </c>
      <c r="G30" s="68">
        <f t="shared" si="1"/>
        <v>72.289824166666662</v>
      </c>
      <c r="H30" s="80">
        <f t="shared" si="2"/>
        <v>69.146788333333348</v>
      </c>
      <c r="I30" s="108">
        <f t="shared" si="3"/>
        <v>64.746538166666667</v>
      </c>
      <c r="J30" s="138">
        <f t="shared" si="5"/>
        <v>63.974038166666674</v>
      </c>
      <c r="K30" s="66"/>
      <c r="L30" s="69">
        <f t="shared" si="4"/>
        <v>62.860716666666669</v>
      </c>
      <c r="M30" s="79">
        <f>361.81*1.03</f>
        <v>372.66430000000003</v>
      </c>
      <c r="N30" s="77">
        <f>M30/6</f>
        <v>62.110716666666669</v>
      </c>
    </row>
    <row r="31" spans="2:14" s="64" customFormat="1">
      <c r="B31" s="116" t="s">
        <v>139</v>
      </c>
      <c r="C31" s="129" t="s">
        <v>90</v>
      </c>
      <c r="D31" s="72"/>
      <c r="E31" s="136">
        <f>(N31*10+7)*1.25</f>
        <v>402.145625</v>
      </c>
      <c r="F31" s="67">
        <f t="shared" si="0"/>
        <v>38.665979999999998</v>
      </c>
      <c r="G31" s="68">
        <f t="shared" si="1"/>
        <v>37.054897499999996</v>
      </c>
      <c r="H31" s="80">
        <f t="shared" si="2"/>
        <v>35.443815000000001</v>
      </c>
      <c r="I31" s="108">
        <f t="shared" si="3"/>
        <v>33.188299499999999</v>
      </c>
      <c r="J31" s="138">
        <f t="shared" si="5"/>
        <v>32.415799499999999</v>
      </c>
      <c r="K31" s="66"/>
      <c r="L31" s="69">
        <f t="shared" si="4"/>
        <v>32.221649999999997</v>
      </c>
      <c r="M31" s="79">
        <f>305.55*1.03</f>
        <v>314.7165</v>
      </c>
      <c r="N31" s="77">
        <f>M31/10</f>
        <v>31.47165</v>
      </c>
    </row>
    <row r="32" spans="2:14" s="64" customFormat="1" ht="15.75" thickBot="1">
      <c r="B32" s="120" t="s">
        <v>141</v>
      </c>
      <c r="C32" s="132" t="s">
        <v>90</v>
      </c>
      <c r="D32" s="121"/>
      <c r="E32" s="140">
        <f>(N32*10+7)*1.25</f>
        <v>302.23562500000003</v>
      </c>
      <c r="F32" s="122">
        <f t="shared" si="0"/>
        <v>29.074619999999999</v>
      </c>
      <c r="G32" s="123">
        <f t="shared" si="1"/>
        <v>27.863177499999999</v>
      </c>
      <c r="H32" s="124">
        <f t="shared" si="2"/>
        <v>26.651735000000002</v>
      </c>
      <c r="I32" s="125">
        <f t="shared" si="3"/>
        <v>24.955715500000004</v>
      </c>
      <c r="J32" s="139">
        <f t="shared" si="5"/>
        <v>24.183215500000003</v>
      </c>
      <c r="K32" s="66"/>
      <c r="L32" s="69">
        <f t="shared" si="4"/>
        <v>24.228850000000001</v>
      </c>
      <c r="M32" s="79">
        <f>227.95*1.03</f>
        <v>234.7885</v>
      </c>
      <c r="N32" s="77">
        <f>M32/10</f>
        <v>23.478850000000001</v>
      </c>
    </row>
    <row r="33" spans="2:14" s="64" customFormat="1" ht="15.75" thickBot="1">
      <c r="B33" s="1707" t="s">
        <v>142</v>
      </c>
      <c r="C33" s="1708"/>
      <c r="D33" s="1708"/>
      <c r="E33" s="1708"/>
      <c r="F33" s="1708"/>
      <c r="G33" s="1708"/>
      <c r="H33" s="1708"/>
      <c r="I33" s="1708"/>
      <c r="J33" s="1709"/>
      <c r="K33" s="66"/>
      <c r="L33" s="69"/>
      <c r="M33" s="79"/>
      <c r="N33" s="77"/>
    </row>
    <row r="34" spans="2:14" s="64" customFormat="1">
      <c r="B34" s="115" t="s">
        <v>143</v>
      </c>
      <c r="C34" s="133" t="s">
        <v>106</v>
      </c>
      <c r="D34" s="126" t="s">
        <v>107</v>
      </c>
      <c r="E34" s="135">
        <f t="shared" si="6"/>
        <v>221.69499999999999</v>
      </c>
      <c r="F34" s="111">
        <f t="shared" si="0"/>
        <v>8.5730880000000003</v>
      </c>
      <c r="G34" s="112">
        <f t="shared" si="1"/>
        <v>8.2158759999999997</v>
      </c>
      <c r="H34" s="113">
        <f t="shared" si="2"/>
        <v>7.858664000000001</v>
      </c>
      <c r="I34" s="107">
        <f t="shared" si="3"/>
        <v>7.3585672000000004</v>
      </c>
      <c r="J34" s="142">
        <f t="shared" si="5"/>
        <v>6.5860672000000005</v>
      </c>
      <c r="K34" s="66"/>
      <c r="L34" s="69">
        <f t="shared" si="4"/>
        <v>7.1442399999999999</v>
      </c>
      <c r="M34" s="79">
        <f>155.2*1.03</f>
        <v>159.85599999999999</v>
      </c>
      <c r="N34" s="77">
        <f>M34/25</f>
        <v>6.3942399999999999</v>
      </c>
    </row>
    <row r="35" spans="2:14" s="64" customFormat="1">
      <c r="B35" s="116" t="s">
        <v>144</v>
      </c>
      <c r="C35" s="129" t="s">
        <v>106</v>
      </c>
      <c r="D35" s="72" t="s">
        <v>107</v>
      </c>
      <c r="E35" s="136">
        <f t="shared" si="6"/>
        <v>565.13562499999989</v>
      </c>
      <c r="F35" s="67">
        <f t="shared" si="0"/>
        <v>21.761207999999996</v>
      </c>
      <c r="G35" s="68">
        <f t="shared" si="1"/>
        <v>20.854490999999996</v>
      </c>
      <c r="H35" s="80">
        <f t="shared" si="2"/>
        <v>19.947773999999999</v>
      </c>
      <c r="I35" s="108">
        <f t="shared" si="3"/>
        <v>18.6783702</v>
      </c>
      <c r="J35" s="138">
        <f t="shared" si="5"/>
        <v>17.905870199999999</v>
      </c>
      <c r="K35" s="66"/>
      <c r="L35" s="69">
        <f t="shared" si="4"/>
        <v>18.134339999999998</v>
      </c>
      <c r="M35" s="79">
        <f>421.95*1.03</f>
        <v>434.60849999999999</v>
      </c>
      <c r="N35" s="77">
        <f>M35/25</f>
        <v>17.384339999999998</v>
      </c>
    </row>
    <row r="36" spans="2:14" s="64" customFormat="1" ht="14.25" customHeight="1">
      <c r="B36" s="116" t="s">
        <v>145</v>
      </c>
      <c r="C36" s="130" t="s">
        <v>123</v>
      </c>
      <c r="D36" s="73" t="s">
        <v>149</v>
      </c>
      <c r="E36" s="136">
        <f>(N36*15+14)*1.25</f>
        <v>192.34250000000003</v>
      </c>
      <c r="F36" s="67">
        <f t="shared" si="0"/>
        <v>12.089920000000003</v>
      </c>
      <c r="G36" s="68">
        <f t="shared" si="1"/>
        <v>11.586173333333335</v>
      </c>
      <c r="H36" s="80">
        <f t="shared" si="2"/>
        <v>11.08242666666667</v>
      </c>
      <c r="I36" s="108">
        <f t="shared" si="3"/>
        <v>10.377181333333336</v>
      </c>
      <c r="J36" s="138">
        <f t="shared" si="5"/>
        <v>9.6046813333333354</v>
      </c>
      <c r="K36" s="66"/>
      <c r="L36" s="69">
        <f t="shared" si="4"/>
        <v>10.074933333333336</v>
      </c>
      <c r="M36" s="79">
        <f>135.8*1.03</f>
        <v>139.87400000000002</v>
      </c>
      <c r="N36" s="77">
        <f>M36/15</f>
        <v>9.3249333333333357</v>
      </c>
    </row>
    <row r="37" spans="2:14" s="64" customFormat="1">
      <c r="B37" s="116" t="s">
        <v>146</v>
      </c>
      <c r="C37" s="129" t="s">
        <v>106</v>
      </c>
      <c r="D37" s="72" t="s">
        <v>107</v>
      </c>
      <c r="E37" s="136">
        <f t="shared" si="6"/>
        <v>212.95287500000001</v>
      </c>
      <c r="F37" s="67">
        <f t="shared" si="0"/>
        <v>8.2373904000000007</v>
      </c>
      <c r="G37" s="68">
        <f t="shared" si="1"/>
        <v>7.8941657999999997</v>
      </c>
      <c r="H37" s="80">
        <f t="shared" si="2"/>
        <v>7.5509412000000005</v>
      </c>
      <c r="I37" s="108">
        <f t="shared" si="3"/>
        <v>7.0704267600000001</v>
      </c>
      <c r="J37" s="138">
        <f t="shared" si="5"/>
        <v>6.2979267600000002</v>
      </c>
      <c r="K37" s="66"/>
      <c r="L37" s="69">
        <f t="shared" si="4"/>
        <v>6.8644920000000003</v>
      </c>
      <c r="M37" s="79">
        <f>148.41*1.03</f>
        <v>152.8623</v>
      </c>
      <c r="N37" s="77">
        <f>M37/25</f>
        <v>6.1144920000000003</v>
      </c>
    </row>
    <row r="38" spans="2:14" s="64" customFormat="1">
      <c r="B38" s="116" t="s">
        <v>147</v>
      </c>
      <c r="C38" s="130" t="s">
        <v>106</v>
      </c>
      <c r="D38" s="73" t="s">
        <v>107</v>
      </c>
      <c r="E38" s="136">
        <f t="shared" si="6"/>
        <v>299.12525000000005</v>
      </c>
      <c r="F38" s="67">
        <f t="shared" si="0"/>
        <v>11.5464096</v>
      </c>
      <c r="G38" s="68">
        <f t="shared" si="1"/>
        <v>11.0653092</v>
      </c>
      <c r="H38" s="80">
        <f t="shared" si="2"/>
        <v>10.584208800000003</v>
      </c>
      <c r="I38" s="108">
        <f t="shared" si="3"/>
        <v>9.9106682400000015</v>
      </c>
      <c r="J38" s="138">
        <f t="shared" si="5"/>
        <v>9.1381682400000006</v>
      </c>
      <c r="K38" s="66"/>
      <c r="L38" s="69">
        <f t="shared" si="4"/>
        <v>9.622008000000001</v>
      </c>
      <c r="M38" s="79">
        <f>215.34*1.03</f>
        <v>221.80020000000002</v>
      </c>
      <c r="N38" s="77">
        <f>M38/25</f>
        <v>8.872008000000001</v>
      </c>
    </row>
    <row r="39" spans="2:14" s="64" customFormat="1" ht="15.75" thickBot="1">
      <c r="B39" s="117" t="s">
        <v>148</v>
      </c>
      <c r="C39" s="134" t="s">
        <v>106</v>
      </c>
      <c r="D39" s="127" t="s">
        <v>107</v>
      </c>
      <c r="E39" s="141">
        <f t="shared" si="6"/>
        <v>221.69499999999999</v>
      </c>
      <c r="F39" s="102">
        <f t="shared" si="0"/>
        <v>8.5730880000000003</v>
      </c>
      <c r="G39" s="103">
        <f t="shared" si="1"/>
        <v>8.2158759999999997</v>
      </c>
      <c r="H39" s="104">
        <f t="shared" si="2"/>
        <v>7.858664000000001</v>
      </c>
      <c r="I39" s="109">
        <f t="shared" si="3"/>
        <v>7.3585672000000004</v>
      </c>
      <c r="J39" s="143">
        <f t="shared" si="5"/>
        <v>6.5860672000000005</v>
      </c>
      <c r="K39" s="66"/>
      <c r="L39" s="69">
        <f t="shared" si="4"/>
        <v>7.1442399999999999</v>
      </c>
      <c r="M39" s="79">
        <f>310.4*1.03</f>
        <v>319.71199999999999</v>
      </c>
      <c r="N39" s="77">
        <f t="shared" si="7"/>
        <v>6.3942399999999999</v>
      </c>
    </row>
    <row r="40" spans="2:14" s="64" customFormat="1" ht="15.75" thickBot="1">
      <c r="B40" s="1704" t="s">
        <v>201</v>
      </c>
      <c r="C40" s="1705"/>
      <c r="D40" s="1705"/>
      <c r="E40" s="1705"/>
      <c r="F40" s="1705"/>
      <c r="G40" s="1705"/>
      <c r="H40" s="1705"/>
      <c r="I40" s="1705"/>
      <c r="J40" s="1706"/>
      <c r="K40" s="66"/>
      <c r="L40" s="69"/>
      <c r="M40" s="79"/>
      <c r="N40" s="77"/>
    </row>
    <row r="41" spans="2:14" s="89" customFormat="1" ht="15" customHeight="1">
      <c r="B41" s="82"/>
      <c r="C41" s="83"/>
      <c r="D41" s="83"/>
      <c r="E41" s="84"/>
      <c r="F41" s="84"/>
      <c r="G41" s="84"/>
      <c r="H41" s="84"/>
      <c r="I41" s="84"/>
      <c r="J41" s="84"/>
      <c r="K41" s="85"/>
      <c r="L41" s="86"/>
      <c r="M41" s="87"/>
      <c r="N41" s="88"/>
    </row>
    <row r="42" spans="2:14" s="89" customFormat="1" ht="15" customHeight="1" thickBot="1">
      <c r="B42" s="82"/>
      <c r="C42" s="83"/>
      <c r="D42" s="83"/>
      <c r="E42" s="84"/>
      <c r="F42" s="84"/>
      <c r="G42" s="84"/>
      <c r="H42" s="84"/>
      <c r="I42" s="84"/>
      <c r="J42" s="84"/>
      <c r="K42" s="85"/>
      <c r="L42" s="86"/>
      <c r="M42" s="87"/>
      <c r="N42" s="88"/>
    </row>
    <row r="43" spans="2:14" s="40" customFormat="1" ht="18" customHeight="1" thickBot="1">
      <c r="B43" s="1693" t="s">
        <v>218</v>
      </c>
      <c r="C43" s="1696" t="s">
        <v>140</v>
      </c>
      <c r="D43" s="1696" t="s">
        <v>99</v>
      </c>
      <c r="E43" s="1700" t="s">
        <v>113</v>
      </c>
      <c r="F43" s="1663" t="s">
        <v>114</v>
      </c>
      <c r="G43" s="1663"/>
      <c r="H43" s="1663"/>
      <c r="I43" s="1663"/>
      <c r="J43" s="1672"/>
      <c r="K43" s="70"/>
      <c r="L43" s="1664" t="s">
        <v>240</v>
      </c>
      <c r="M43" s="1692" t="s">
        <v>238</v>
      </c>
      <c r="N43" s="1665" t="s">
        <v>105</v>
      </c>
    </row>
    <row r="44" spans="2:14" s="40" customFormat="1" ht="18" thickBot="1">
      <c r="B44" s="1694"/>
      <c r="C44" s="1697"/>
      <c r="D44" s="1699"/>
      <c r="E44" s="1701"/>
      <c r="F44" s="1680" t="s">
        <v>38</v>
      </c>
      <c r="G44" s="1680"/>
      <c r="H44" s="1680"/>
      <c r="I44" s="1681"/>
      <c r="J44" s="105" t="s">
        <v>22</v>
      </c>
      <c r="K44" s="70"/>
      <c r="L44" s="1664"/>
      <c r="M44" s="1692"/>
      <c r="N44" s="1665"/>
    </row>
    <row r="45" spans="2:14" s="40" customFormat="1" ht="18" thickBot="1">
      <c r="B45" s="1695"/>
      <c r="C45" s="1698"/>
      <c r="D45" s="1698"/>
      <c r="E45" s="1702"/>
      <c r="F45" s="114" t="s">
        <v>101</v>
      </c>
      <c r="G45" s="75" t="s">
        <v>102</v>
      </c>
      <c r="H45" s="185" t="s">
        <v>103</v>
      </c>
      <c r="I45" s="186" t="s">
        <v>104</v>
      </c>
      <c r="J45" s="106" t="s">
        <v>104</v>
      </c>
      <c r="K45" s="70"/>
      <c r="L45" s="1664"/>
      <c r="M45" s="1692"/>
      <c r="N45" s="1665"/>
    </row>
    <row r="46" spans="2:14" ht="15.75" thickBot="1">
      <c r="B46" s="1677" t="s">
        <v>219</v>
      </c>
      <c r="C46" s="1678"/>
      <c r="D46" s="1678"/>
      <c r="E46" s="1678"/>
      <c r="F46" s="1670"/>
      <c r="G46" s="1670"/>
      <c r="H46" s="1670"/>
      <c r="I46" s="1670"/>
      <c r="J46" s="1679"/>
    </row>
    <row r="47" spans="2:14" s="64" customFormat="1">
      <c r="B47" s="115" t="s">
        <v>220</v>
      </c>
      <c r="C47" s="187" t="s">
        <v>121</v>
      </c>
      <c r="D47" s="188" t="s">
        <v>241</v>
      </c>
      <c r="E47" s="189">
        <f>M47*1.25</f>
        <v>276.00137500000005</v>
      </c>
      <c r="F47" s="60">
        <f>L47*1.2</f>
        <v>13.248066</v>
      </c>
      <c r="G47" s="61">
        <f>(L47)*1.15</f>
        <v>12.69606325</v>
      </c>
      <c r="H47" s="98">
        <f>(L47)*1.1</f>
        <v>12.144060500000002</v>
      </c>
      <c r="I47" s="190">
        <f>(L47)*1.03</f>
        <v>11.371256650000001</v>
      </c>
      <c r="J47" s="191">
        <f>N47*1.03</f>
        <v>11.371256650000001</v>
      </c>
      <c r="K47" s="66"/>
      <c r="L47" s="46">
        <f>N47</f>
        <v>11.040055000000001</v>
      </c>
      <c r="M47" s="78">
        <f>214.37*1.03</f>
        <v>220.80110000000002</v>
      </c>
      <c r="N47" s="219">
        <f>M47/20</f>
        <v>11.040055000000001</v>
      </c>
    </row>
    <row r="48" spans="2:14" s="64" customFormat="1">
      <c r="B48" s="116" t="s">
        <v>221</v>
      </c>
      <c r="C48" s="187" t="s">
        <v>90</v>
      </c>
      <c r="D48" s="188" t="s">
        <v>119</v>
      </c>
      <c r="E48" s="192">
        <f t="shared" ref="E48:E49" si="8">M48*1.25</f>
        <v>1463.5141250000001</v>
      </c>
      <c r="F48" s="19">
        <f t="shared" ref="F48:F49" si="9">L48*1.2</f>
        <v>140.497356</v>
      </c>
      <c r="G48" s="12">
        <f t="shared" ref="G48:G49" si="10">(L48)*1.15</f>
        <v>134.64329949999998</v>
      </c>
      <c r="H48" s="193">
        <f t="shared" ref="H48:H49" si="11">(L48)*1.1</f>
        <v>128.789243</v>
      </c>
      <c r="I48" s="194">
        <f t="shared" ref="I48:I49" si="12">(L48)*1.03</f>
        <v>120.59356390000001</v>
      </c>
      <c r="J48" s="195">
        <f>N48*1.03</f>
        <v>120.59356390000001</v>
      </c>
      <c r="K48" s="66"/>
      <c r="L48" s="46">
        <f t="shared" ref="L48:L65" si="13">N48</f>
        <v>117.08113</v>
      </c>
      <c r="M48" s="78">
        <f>1136.71*1.03</f>
        <v>1170.8113000000001</v>
      </c>
      <c r="N48" s="219">
        <f>M48/10</f>
        <v>117.08113</v>
      </c>
    </row>
    <row r="49" spans="2:14" s="64" customFormat="1" ht="15.75" thickBot="1">
      <c r="B49" s="116" t="s">
        <v>222</v>
      </c>
      <c r="C49" s="196" t="s">
        <v>111</v>
      </c>
      <c r="D49" s="197" t="s">
        <v>242</v>
      </c>
      <c r="E49" s="192">
        <f t="shared" si="8"/>
        <v>290.42137500000001</v>
      </c>
      <c r="F49" s="19">
        <f t="shared" si="9"/>
        <v>9.2934839999999994</v>
      </c>
      <c r="G49" s="12">
        <f t="shared" si="10"/>
        <v>8.9062554999999985</v>
      </c>
      <c r="H49" s="193">
        <f t="shared" si="11"/>
        <v>8.5190269999999995</v>
      </c>
      <c r="I49" s="194">
        <f t="shared" si="12"/>
        <v>7.9769071</v>
      </c>
      <c r="J49" s="195">
        <f>N49*1.03</f>
        <v>7.9769071</v>
      </c>
      <c r="K49" s="66"/>
      <c r="L49" s="46">
        <f t="shared" si="13"/>
        <v>7.7445699999999995</v>
      </c>
      <c r="M49" s="78">
        <f>225.57*1.03</f>
        <v>232.33709999999999</v>
      </c>
      <c r="N49" s="219">
        <f>M49/30</f>
        <v>7.7445699999999995</v>
      </c>
    </row>
    <row r="50" spans="2:14" s="64" customFormat="1" ht="15.75" thickBot="1">
      <c r="B50" s="1677" t="s">
        <v>223</v>
      </c>
      <c r="C50" s="1678"/>
      <c r="D50" s="1678"/>
      <c r="E50" s="1678"/>
      <c r="F50" s="1678"/>
      <c r="G50" s="1678"/>
      <c r="H50" s="1678"/>
      <c r="I50" s="1678"/>
      <c r="J50" s="1682"/>
      <c r="K50" s="66"/>
      <c r="L50" s="46"/>
      <c r="M50" s="78"/>
      <c r="N50" s="219"/>
    </row>
    <row r="51" spans="2:14" s="64" customFormat="1" ht="30">
      <c r="B51" s="118" t="s">
        <v>224</v>
      </c>
      <c r="C51" s="198" t="s">
        <v>106</v>
      </c>
      <c r="D51" s="199" t="s">
        <v>243</v>
      </c>
      <c r="E51" s="192">
        <f>M51*1.25</f>
        <v>408.57524999999998</v>
      </c>
      <c r="F51" s="19">
        <f t="shared" ref="F51:F54" si="14">L51*1.2</f>
        <v>15.689289599999997</v>
      </c>
      <c r="G51" s="12">
        <f t="shared" ref="G51:G54" si="15">(L51)*1.15</f>
        <v>15.035569199999998</v>
      </c>
      <c r="H51" s="193">
        <f t="shared" ref="H51:H54" si="16">(L51)*1.1</f>
        <v>14.381848799999998</v>
      </c>
      <c r="I51" s="200">
        <f t="shared" ref="I51:I54" si="17">(L51)*1.03</f>
        <v>13.466640239999998</v>
      </c>
      <c r="J51" s="195">
        <f t="shared" ref="J51:J54" si="18">N51*1.03</f>
        <v>13.466640239999998</v>
      </c>
      <c r="K51" s="66"/>
      <c r="L51" s="46">
        <f t="shared" si="13"/>
        <v>13.074407999999998</v>
      </c>
      <c r="M51" s="78">
        <f>317.34*1.03</f>
        <v>326.86019999999996</v>
      </c>
      <c r="N51" s="219">
        <f>M51/25</f>
        <v>13.074407999999998</v>
      </c>
    </row>
    <row r="52" spans="2:14" s="64" customFormat="1" ht="31.5" customHeight="1">
      <c r="B52" s="116" t="s">
        <v>225</v>
      </c>
      <c r="C52" s="201" t="s">
        <v>121</v>
      </c>
      <c r="D52" s="202" t="s">
        <v>241</v>
      </c>
      <c r="E52" s="192">
        <f t="shared" ref="E52:E54" si="19">M52*1.25</f>
        <v>325.26112500000005</v>
      </c>
      <c r="F52" s="19">
        <f t="shared" si="14"/>
        <v>15.612534</v>
      </c>
      <c r="G52" s="12">
        <f t="shared" si="15"/>
        <v>14.96201175</v>
      </c>
      <c r="H52" s="193">
        <f t="shared" si="16"/>
        <v>14.311489500000002</v>
      </c>
      <c r="I52" s="194">
        <f t="shared" si="17"/>
        <v>13.40075835</v>
      </c>
      <c r="J52" s="195">
        <f t="shared" si="18"/>
        <v>13.40075835</v>
      </c>
      <c r="K52" s="66"/>
      <c r="L52" s="46">
        <f t="shared" si="13"/>
        <v>13.010445000000001</v>
      </c>
      <c r="M52" s="78">
        <f>252.63*1.03</f>
        <v>260.20890000000003</v>
      </c>
      <c r="N52" s="219">
        <f>M52/20</f>
        <v>13.010445000000001</v>
      </c>
    </row>
    <row r="53" spans="2:14" s="64" customFormat="1" ht="30">
      <c r="B53" s="116" t="s">
        <v>226</v>
      </c>
      <c r="C53" s="196" t="s">
        <v>89</v>
      </c>
      <c r="D53" s="197" t="s">
        <v>244</v>
      </c>
      <c r="E53" s="192">
        <f t="shared" si="19"/>
        <v>303.991625</v>
      </c>
      <c r="F53" s="19">
        <f t="shared" si="14"/>
        <v>16.212886666666666</v>
      </c>
      <c r="G53" s="12">
        <f t="shared" si="15"/>
        <v>15.537349722222222</v>
      </c>
      <c r="H53" s="193">
        <f t="shared" si="16"/>
        <v>14.86181277777778</v>
      </c>
      <c r="I53" s="194">
        <f t="shared" si="17"/>
        <v>13.916061055555556</v>
      </c>
      <c r="J53" s="195">
        <f t="shared" si="18"/>
        <v>13.916061055555556</v>
      </c>
      <c r="K53" s="66"/>
      <c r="L53" s="46">
        <f t="shared" si="13"/>
        <v>13.51073888888889</v>
      </c>
      <c r="M53" s="78">
        <f>236.11*1.03</f>
        <v>243.19330000000002</v>
      </c>
      <c r="N53" s="219">
        <f>M53/18</f>
        <v>13.51073888888889</v>
      </c>
    </row>
    <row r="54" spans="2:14" s="64" customFormat="1" ht="30.75" thickBot="1">
      <c r="B54" s="120" t="s">
        <v>227</v>
      </c>
      <c r="C54" s="203" t="s">
        <v>121</v>
      </c>
      <c r="D54" s="204" t="s">
        <v>241</v>
      </c>
      <c r="E54" s="205">
        <f t="shared" si="19"/>
        <v>342.38487500000008</v>
      </c>
      <c r="F54" s="206">
        <f t="shared" si="14"/>
        <v>16.434474000000002</v>
      </c>
      <c r="G54" s="207">
        <f t="shared" si="15"/>
        <v>15.749704250000001</v>
      </c>
      <c r="H54" s="208">
        <f t="shared" si="16"/>
        <v>15.064934500000003</v>
      </c>
      <c r="I54" s="209">
        <f t="shared" si="17"/>
        <v>14.106256850000001</v>
      </c>
      <c r="J54" s="210">
        <f t="shared" si="18"/>
        <v>14.106256850000001</v>
      </c>
      <c r="K54" s="66"/>
      <c r="L54" s="46">
        <f t="shared" si="13"/>
        <v>13.695395000000001</v>
      </c>
      <c r="M54" s="78">
        <f>265.93*1.03</f>
        <v>273.90790000000004</v>
      </c>
      <c r="N54" s="219">
        <f>M54/20</f>
        <v>13.695395000000001</v>
      </c>
    </row>
    <row r="55" spans="2:14" s="64" customFormat="1" ht="15.75" thickBot="1">
      <c r="B55" s="1677" t="s">
        <v>228</v>
      </c>
      <c r="C55" s="1678"/>
      <c r="D55" s="1678"/>
      <c r="E55" s="1678"/>
      <c r="F55" s="1678"/>
      <c r="G55" s="1678"/>
      <c r="H55" s="1678"/>
      <c r="I55" s="1678"/>
      <c r="J55" s="1682"/>
      <c r="K55" s="66"/>
      <c r="L55" s="46"/>
      <c r="M55" s="78"/>
      <c r="N55" s="219"/>
    </row>
    <row r="56" spans="2:14" s="64" customFormat="1" ht="16.5" customHeight="1">
      <c r="B56" s="115" t="s">
        <v>229</v>
      </c>
      <c r="C56" s="211" t="s">
        <v>106</v>
      </c>
      <c r="D56" s="212" t="s">
        <v>244</v>
      </c>
      <c r="E56" s="189">
        <f>M56*1.25</f>
        <v>222.78899999999999</v>
      </c>
      <c r="F56" s="60">
        <f t="shared" ref="F56:F62" si="20">L56*1.2</f>
        <v>8.5550975999999999</v>
      </c>
      <c r="G56" s="61">
        <f t="shared" ref="G56:G62" si="21">(L56)*1.15</f>
        <v>8.1986352</v>
      </c>
      <c r="H56" s="98">
        <f t="shared" ref="H56:H62" si="22">(L56)*1.1</f>
        <v>7.8421728000000011</v>
      </c>
      <c r="I56" s="190">
        <f t="shared" ref="I56:I62" si="23">(L56)*1.03</f>
        <v>7.3431254400000006</v>
      </c>
      <c r="J56" s="99">
        <f t="shared" ref="J56:J62" si="24">N56*1.03</f>
        <v>7.3431254400000006</v>
      </c>
      <c r="K56" s="66"/>
      <c r="L56" s="46">
        <f t="shared" si="13"/>
        <v>7.1292480000000005</v>
      </c>
      <c r="M56" s="78">
        <f>173.04*1.03</f>
        <v>178.2312</v>
      </c>
      <c r="N56" s="219">
        <f>M56/25</f>
        <v>7.1292480000000005</v>
      </c>
    </row>
    <row r="57" spans="2:14" s="64" customFormat="1" ht="30">
      <c r="B57" s="116" t="s">
        <v>230</v>
      </c>
      <c r="C57" s="196" t="s">
        <v>111</v>
      </c>
      <c r="D57" s="197" t="s">
        <v>242</v>
      </c>
      <c r="E57" s="192">
        <f t="shared" ref="E57:E62" si="25">M57*1.25</f>
        <v>300.232125</v>
      </c>
      <c r="F57" s="19">
        <f t="shared" ref="F57:F58" si="26">L57*1.2</f>
        <v>9.6074280000000005</v>
      </c>
      <c r="G57" s="12">
        <f t="shared" ref="G57:G58" si="27">(L57)*1.15</f>
        <v>9.2071185</v>
      </c>
      <c r="H57" s="193">
        <f t="shared" ref="H57:H58" si="28">(L57)*1.1</f>
        <v>8.8068090000000012</v>
      </c>
      <c r="I57" s="194">
        <f t="shared" ref="I57:I58" si="29">(L57)*1.03</f>
        <v>8.2463756999999998</v>
      </c>
      <c r="J57" s="195">
        <f t="shared" ref="J57:J58" si="30">N57*1.03</f>
        <v>8.2463756999999998</v>
      </c>
      <c r="K57" s="66"/>
      <c r="L57" s="46">
        <f t="shared" si="13"/>
        <v>8.0061900000000001</v>
      </c>
      <c r="M57" s="78">
        <f>233.19*1.03</f>
        <v>240.1857</v>
      </c>
      <c r="N57" s="219">
        <f>M57/30</f>
        <v>8.0061900000000001</v>
      </c>
    </row>
    <row r="58" spans="2:14" s="64" customFormat="1" ht="14.25" customHeight="1">
      <c r="B58" s="116" t="s">
        <v>231</v>
      </c>
      <c r="C58" s="201" t="s">
        <v>106</v>
      </c>
      <c r="D58" s="202" t="s">
        <v>244</v>
      </c>
      <c r="E58" s="192">
        <f t="shared" si="25"/>
        <v>440.73700000000002</v>
      </c>
      <c r="F58" s="19">
        <f t="shared" si="26"/>
        <v>16.924300800000001</v>
      </c>
      <c r="G58" s="12">
        <f t="shared" si="27"/>
        <v>16.219121600000001</v>
      </c>
      <c r="H58" s="193">
        <f t="shared" si="28"/>
        <v>15.513942400000003</v>
      </c>
      <c r="I58" s="194">
        <f t="shared" si="29"/>
        <v>14.526691520000002</v>
      </c>
      <c r="J58" s="195">
        <f t="shared" si="30"/>
        <v>14.526691520000002</v>
      </c>
      <c r="K58" s="66"/>
      <c r="L58" s="46">
        <f t="shared" si="13"/>
        <v>14.103584000000001</v>
      </c>
      <c r="M58" s="78">
        <f>342.32*1.03</f>
        <v>352.58960000000002</v>
      </c>
      <c r="N58" s="219">
        <f>M58/25</f>
        <v>14.103584000000001</v>
      </c>
    </row>
    <row r="59" spans="2:14" s="64" customFormat="1">
      <c r="B59" s="116" t="s">
        <v>232</v>
      </c>
      <c r="C59" s="196" t="s">
        <v>106</v>
      </c>
      <c r="D59" s="197" t="s">
        <v>244</v>
      </c>
      <c r="E59" s="192">
        <f t="shared" si="25"/>
        <v>393.53725000000003</v>
      </c>
      <c r="F59" s="19">
        <f t="shared" si="20"/>
        <v>15.111830400000002</v>
      </c>
      <c r="G59" s="12">
        <f t="shared" si="21"/>
        <v>14.4821708</v>
      </c>
      <c r="H59" s="193">
        <f t="shared" si="22"/>
        <v>13.852511200000004</v>
      </c>
      <c r="I59" s="194">
        <f t="shared" si="23"/>
        <v>12.970987760000002</v>
      </c>
      <c r="J59" s="195">
        <f t="shared" si="24"/>
        <v>12.970987760000002</v>
      </c>
      <c r="K59" s="66"/>
      <c r="L59" s="46">
        <f t="shared" si="13"/>
        <v>12.593192000000002</v>
      </c>
      <c r="M59" s="78">
        <f>305.66*1.03</f>
        <v>314.82980000000003</v>
      </c>
      <c r="N59" s="219">
        <f>M59/25</f>
        <v>12.593192000000002</v>
      </c>
    </row>
    <row r="60" spans="2:14" s="64" customFormat="1" ht="14.25" customHeight="1">
      <c r="B60" s="116" t="s">
        <v>233</v>
      </c>
      <c r="C60" s="201" t="s">
        <v>106</v>
      </c>
      <c r="D60" s="202" t="s">
        <v>244</v>
      </c>
      <c r="E60" s="192">
        <f t="shared" si="25"/>
        <v>364.69724999999994</v>
      </c>
      <c r="F60" s="19">
        <f t="shared" si="20"/>
        <v>14.004374399999998</v>
      </c>
      <c r="G60" s="12">
        <f t="shared" si="21"/>
        <v>13.420858799999998</v>
      </c>
      <c r="H60" s="193">
        <f t="shared" si="22"/>
        <v>12.837343199999999</v>
      </c>
      <c r="I60" s="194">
        <f t="shared" si="23"/>
        <v>12.02042136</v>
      </c>
      <c r="J60" s="195">
        <f t="shared" si="24"/>
        <v>12.02042136</v>
      </c>
      <c r="K60" s="66"/>
      <c r="L60" s="46">
        <f t="shared" si="13"/>
        <v>11.670311999999999</v>
      </c>
      <c r="M60" s="78">
        <f>283.26*1.03</f>
        <v>291.75779999999997</v>
      </c>
      <c r="N60" s="219">
        <f>M60/25</f>
        <v>11.670311999999999</v>
      </c>
    </row>
    <row r="61" spans="2:14" s="64" customFormat="1" ht="30">
      <c r="B61" s="116" t="s">
        <v>234</v>
      </c>
      <c r="C61" s="196" t="s">
        <v>111</v>
      </c>
      <c r="D61" s="197" t="s">
        <v>242</v>
      </c>
      <c r="E61" s="192">
        <f t="shared" si="25"/>
        <v>319.5575</v>
      </c>
      <c r="F61" s="19">
        <f t="shared" si="20"/>
        <v>10.225839999999998</v>
      </c>
      <c r="G61" s="12">
        <f t="shared" si="21"/>
        <v>9.7997633333333312</v>
      </c>
      <c r="H61" s="193">
        <f t="shared" si="22"/>
        <v>9.3736866666666661</v>
      </c>
      <c r="I61" s="194">
        <f t="shared" si="23"/>
        <v>8.7771793333333328</v>
      </c>
      <c r="J61" s="195">
        <f t="shared" si="24"/>
        <v>8.7771793333333328</v>
      </c>
      <c r="K61" s="66"/>
      <c r="L61" s="46">
        <f t="shared" si="13"/>
        <v>8.5215333333333323</v>
      </c>
      <c r="M61" s="78">
        <f>248.2*1.03</f>
        <v>255.64599999999999</v>
      </c>
      <c r="N61" s="219">
        <f>M61/30</f>
        <v>8.5215333333333323</v>
      </c>
    </row>
    <row r="62" spans="2:14" s="64" customFormat="1" ht="30.75" thickBot="1">
      <c r="B62" s="117" t="s">
        <v>235</v>
      </c>
      <c r="C62" s="213" t="s">
        <v>106</v>
      </c>
      <c r="D62" s="214" t="s">
        <v>244</v>
      </c>
      <c r="E62" s="215">
        <f t="shared" si="25"/>
        <v>259.16087499999998</v>
      </c>
      <c r="F62" s="20">
        <f t="shared" si="20"/>
        <v>9.9517775999999998</v>
      </c>
      <c r="G62" s="15">
        <f t="shared" si="21"/>
        <v>9.5371202000000004</v>
      </c>
      <c r="H62" s="216">
        <f t="shared" si="22"/>
        <v>9.122462800000001</v>
      </c>
      <c r="I62" s="217">
        <f t="shared" si="23"/>
        <v>8.5419424400000015</v>
      </c>
      <c r="J62" s="218">
        <f t="shared" si="24"/>
        <v>8.5419424400000015</v>
      </c>
      <c r="K62" s="66"/>
      <c r="L62" s="46">
        <f t="shared" si="13"/>
        <v>8.2931480000000004</v>
      </c>
      <c r="M62" s="78">
        <f>201.29*1.03</f>
        <v>207.3287</v>
      </c>
      <c r="N62" s="219">
        <f>M62/25</f>
        <v>8.2931480000000004</v>
      </c>
    </row>
    <row r="63" spans="2:14" s="64" customFormat="1" ht="15.75" thickBot="1">
      <c r="B63" s="1677" t="s">
        <v>142</v>
      </c>
      <c r="C63" s="1678"/>
      <c r="D63" s="1678"/>
      <c r="E63" s="1678"/>
      <c r="F63" s="1678"/>
      <c r="G63" s="1678"/>
      <c r="H63" s="1678"/>
      <c r="I63" s="1678"/>
      <c r="J63" s="1682"/>
      <c r="K63" s="66"/>
      <c r="L63" s="46"/>
      <c r="M63" s="78"/>
      <c r="N63" s="219"/>
    </row>
    <row r="64" spans="2:14" s="64" customFormat="1" ht="30">
      <c r="B64" s="115" t="s">
        <v>236</v>
      </c>
      <c r="C64" s="211" t="s">
        <v>106</v>
      </c>
      <c r="D64" s="212" t="s">
        <v>244</v>
      </c>
      <c r="E64" s="189">
        <f>M64*1.25</f>
        <v>248.55187500000002</v>
      </c>
      <c r="F64" s="60">
        <f t="shared" ref="F64:F65" si="31">L64*1.2</f>
        <v>9.5443920000000002</v>
      </c>
      <c r="G64" s="61">
        <f t="shared" ref="G64:G65" si="32">(L64)*1.15</f>
        <v>9.1467090000000013</v>
      </c>
      <c r="H64" s="98">
        <f t="shared" ref="H64:H65" si="33">(L64)*1.1</f>
        <v>8.7490260000000024</v>
      </c>
      <c r="I64" s="190">
        <f t="shared" ref="I64:I65" si="34">(L64)*1.03</f>
        <v>8.1922698000000018</v>
      </c>
      <c r="J64" s="99">
        <f t="shared" ref="J64:J65" si="35">N64*1.03</f>
        <v>8.1922698000000018</v>
      </c>
      <c r="K64" s="66"/>
      <c r="L64" s="46">
        <f t="shared" si="13"/>
        <v>7.9536600000000011</v>
      </c>
      <c r="M64" s="78">
        <f>193.05*1.03</f>
        <v>198.84150000000002</v>
      </c>
      <c r="N64" s="219">
        <f>M64/25</f>
        <v>7.9536600000000011</v>
      </c>
    </row>
    <row r="65" spans="2:14" s="64" customFormat="1" ht="15.75" thickBot="1">
      <c r="B65" s="117" t="s">
        <v>237</v>
      </c>
      <c r="C65" s="213" t="s">
        <v>106</v>
      </c>
      <c r="D65" s="214" t="s">
        <v>244</v>
      </c>
      <c r="E65" s="215">
        <f>M65*1.25</f>
        <v>224.54000000000002</v>
      </c>
      <c r="F65" s="20">
        <f t="shared" si="31"/>
        <v>8.6223360000000007</v>
      </c>
      <c r="G65" s="15">
        <f t="shared" si="32"/>
        <v>8.2630719999999993</v>
      </c>
      <c r="H65" s="216">
        <f t="shared" si="33"/>
        <v>7.9038080000000015</v>
      </c>
      <c r="I65" s="217">
        <f t="shared" si="34"/>
        <v>7.4008384000000005</v>
      </c>
      <c r="J65" s="218">
        <f t="shared" si="35"/>
        <v>7.4008384000000005</v>
      </c>
      <c r="K65" s="66"/>
      <c r="L65" s="46">
        <f t="shared" si="13"/>
        <v>7.1852800000000006</v>
      </c>
      <c r="M65" s="78">
        <f>174.4*1.03</f>
        <v>179.63200000000001</v>
      </c>
      <c r="N65" s="219">
        <f>M65/25</f>
        <v>7.1852800000000006</v>
      </c>
    </row>
    <row r="66" spans="2:14" s="89" customFormat="1" ht="15" customHeight="1">
      <c r="B66" s="82"/>
      <c r="C66" s="83"/>
      <c r="D66" s="83"/>
      <c r="E66" s="84"/>
      <c r="F66" s="84"/>
      <c r="G66" s="84"/>
      <c r="H66" s="84"/>
      <c r="I66" s="84"/>
      <c r="J66" s="84"/>
      <c r="K66" s="85"/>
      <c r="L66" s="86"/>
      <c r="M66" s="87"/>
      <c r="N66" s="88"/>
    </row>
    <row r="67" spans="2:14" s="89" customFormat="1" ht="15" customHeight="1" thickBot="1">
      <c r="B67" s="82"/>
      <c r="C67" s="83"/>
      <c r="D67" s="83"/>
      <c r="E67" s="84"/>
      <c r="F67" s="84"/>
      <c r="G67" s="84"/>
      <c r="H67" s="84"/>
      <c r="I67" s="84"/>
      <c r="J67" s="84"/>
      <c r="K67" s="85"/>
      <c r="L67" s="86"/>
      <c r="M67" s="87"/>
      <c r="N67" s="88"/>
    </row>
    <row r="68" spans="2:14" s="40" customFormat="1" ht="18" customHeight="1" thickBot="1">
      <c r="B68" s="1693" t="s">
        <v>432</v>
      </c>
      <c r="C68" s="1696" t="s">
        <v>140</v>
      </c>
      <c r="D68" s="1696" t="s">
        <v>99</v>
      </c>
      <c r="E68" s="1700" t="s">
        <v>113</v>
      </c>
      <c r="F68" s="1663" t="s">
        <v>114</v>
      </c>
      <c r="G68" s="1663"/>
      <c r="H68" s="1663"/>
      <c r="I68" s="1663"/>
      <c r="J68" s="1672"/>
      <c r="K68" s="70"/>
      <c r="L68" s="1664" t="s">
        <v>449</v>
      </c>
      <c r="M68" s="1665" t="s">
        <v>447</v>
      </c>
      <c r="N68" s="1692" t="s">
        <v>448</v>
      </c>
    </row>
    <row r="69" spans="2:14" s="40" customFormat="1" ht="18" thickBot="1">
      <c r="B69" s="1694"/>
      <c r="C69" s="1697"/>
      <c r="D69" s="1699"/>
      <c r="E69" s="1701"/>
      <c r="F69" s="1680" t="s">
        <v>38</v>
      </c>
      <c r="G69" s="1680"/>
      <c r="H69" s="1680"/>
      <c r="I69" s="1681"/>
      <c r="J69" s="105" t="s">
        <v>22</v>
      </c>
      <c r="K69" s="70"/>
      <c r="L69" s="1664"/>
      <c r="M69" s="1665"/>
      <c r="N69" s="1692"/>
    </row>
    <row r="70" spans="2:14" s="40" customFormat="1" ht="18" thickBot="1">
      <c r="B70" s="1695"/>
      <c r="C70" s="1698"/>
      <c r="D70" s="1698"/>
      <c r="E70" s="1702"/>
      <c r="F70" s="114" t="s">
        <v>101</v>
      </c>
      <c r="G70" s="75" t="s">
        <v>102</v>
      </c>
      <c r="H70" s="254" t="s">
        <v>103</v>
      </c>
      <c r="I70" s="186" t="s">
        <v>104</v>
      </c>
      <c r="J70" s="106" t="s">
        <v>104</v>
      </c>
      <c r="K70" s="70"/>
      <c r="L70" s="1664"/>
      <c r="M70" s="1665"/>
      <c r="N70" s="1692"/>
    </row>
    <row r="71" spans="2:14" ht="15.75" thickBot="1">
      <c r="B71" s="1677" t="s">
        <v>433</v>
      </c>
      <c r="C71" s="1678"/>
      <c r="D71" s="1678"/>
      <c r="E71" s="1678"/>
      <c r="F71" s="1670"/>
      <c r="G71" s="1670"/>
      <c r="H71" s="1670"/>
      <c r="I71" s="1670"/>
      <c r="J71" s="1679"/>
    </row>
    <row r="72" spans="2:14" s="64" customFormat="1" ht="45.75" customHeight="1">
      <c r="B72" s="325" t="s">
        <v>435</v>
      </c>
      <c r="C72" s="187" t="s">
        <v>106</v>
      </c>
      <c r="D72" s="188" t="s">
        <v>243</v>
      </c>
      <c r="E72" s="189">
        <f>M72*1.25</f>
        <v>254.92500000000001</v>
      </c>
      <c r="F72" s="60">
        <f>L72*1.2</f>
        <v>9.7891200000000005</v>
      </c>
      <c r="G72" s="61">
        <f>(L72)*1.15</f>
        <v>9.38124</v>
      </c>
      <c r="H72" s="98">
        <f>(L72)*1.1</f>
        <v>8.9733600000000013</v>
      </c>
      <c r="I72" s="190">
        <f>(L72)*1.03</f>
        <v>8.4023280000000007</v>
      </c>
      <c r="J72" s="99">
        <f>N72*1.03</f>
        <v>8.4023280000000007</v>
      </c>
      <c r="K72" s="66"/>
      <c r="L72" s="46">
        <f>N72</f>
        <v>8.1576000000000004</v>
      </c>
      <c r="M72" s="78">
        <f>198*1.03</f>
        <v>203.94</v>
      </c>
      <c r="N72" s="219">
        <f>M72/25</f>
        <v>8.1576000000000004</v>
      </c>
    </row>
    <row r="73" spans="2:14" s="64" customFormat="1" ht="90">
      <c r="B73" s="326" t="s">
        <v>434</v>
      </c>
      <c r="C73" s="187" t="s">
        <v>106</v>
      </c>
      <c r="D73" s="188" t="s">
        <v>243</v>
      </c>
      <c r="E73" s="192">
        <f t="shared" ref="E73" si="36">M73*1.25</f>
        <v>312.86250000000001</v>
      </c>
      <c r="F73" s="19">
        <f t="shared" ref="F73" si="37">L73*1.2</f>
        <v>12.013920000000001</v>
      </c>
      <c r="G73" s="12">
        <f t="shared" ref="G73" si="38">(L73)*1.15</f>
        <v>11.513340000000001</v>
      </c>
      <c r="H73" s="193">
        <f t="shared" ref="H73" si="39">(L73)*1.1</f>
        <v>11.012760000000002</v>
      </c>
      <c r="I73" s="194">
        <f t="shared" ref="I73" si="40">(L73)*1.03</f>
        <v>10.311948000000001</v>
      </c>
      <c r="J73" s="195">
        <f>N73*1.03</f>
        <v>10.311948000000001</v>
      </c>
      <c r="K73" s="66"/>
      <c r="L73" s="46">
        <f t="shared" ref="L73" si="41">N73</f>
        <v>10.011600000000001</v>
      </c>
      <c r="M73" s="78">
        <f>243*1.03</f>
        <v>250.29000000000002</v>
      </c>
      <c r="N73" s="219">
        <f t="shared" ref="N73:N84" si="42">M73/25</f>
        <v>10.011600000000001</v>
      </c>
    </row>
    <row r="74" spans="2:14" s="64" customFormat="1" ht="45">
      <c r="B74" s="326" t="s">
        <v>436</v>
      </c>
      <c r="C74" s="187" t="s">
        <v>106</v>
      </c>
      <c r="D74" s="188" t="s">
        <v>243</v>
      </c>
      <c r="E74" s="192">
        <f t="shared" ref="E74:E75" si="43">M74*1.25</f>
        <v>312.86250000000001</v>
      </c>
      <c r="F74" s="19">
        <f t="shared" ref="F74:F75" si="44">L74*1.2</f>
        <v>12.013920000000001</v>
      </c>
      <c r="G74" s="12">
        <f t="shared" ref="G74:G75" si="45">(L74)*1.15</f>
        <v>11.513340000000001</v>
      </c>
      <c r="H74" s="193">
        <f t="shared" ref="H74:H75" si="46">(L74)*1.1</f>
        <v>11.012760000000002</v>
      </c>
      <c r="I74" s="194">
        <f t="shared" ref="I74:I75" si="47">(L74)*1.03</f>
        <v>10.311948000000001</v>
      </c>
      <c r="J74" s="195">
        <f>N74*1.03</f>
        <v>10.311948000000001</v>
      </c>
      <c r="K74" s="66"/>
      <c r="L74" s="46">
        <f t="shared" ref="L74:L75" si="48">N74</f>
        <v>10.011600000000001</v>
      </c>
      <c r="M74" s="78">
        <f>243*1.03</f>
        <v>250.29000000000002</v>
      </c>
      <c r="N74" s="219">
        <f t="shared" si="42"/>
        <v>10.011600000000001</v>
      </c>
    </row>
    <row r="75" spans="2:14" s="64" customFormat="1" ht="60.75" thickBot="1">
      <c r="B75" s="326" t="s">
        <v>437</v>
      </c>
      <c r="C75" s="196" t="s">
        <v>106</v>
      </c>
      <c r="D75" s="197" t="s">
        <v>243</v>
      </c>
      <c r="E75" s="192">
        <f t="shared" si="43"/>
        <v>517.57500000000005</v>
      </c>
      <c r="F75" s="19">
        <f t="shared" si="44"/>
        <v>19.874880000000001</v>
      </c>
      <c r="G75" s="12">
        <f t="shared" si="45"/>
        <v>19.046759999999999</v>
      </c>
      <c r="H75" s="193">
        <f t="shared" si="46"/>
        <v>18.218640000000001</v>
      </c>
      <c r="I75" s="194">
        <f t="shared" si="47"/>
        <v>17.059272</v>
      </c>
      <c r="J75" s="195">
        <f>N75*1.03</f>
        <v>17.059272</v>
      </c>
      <c r="K75" s="66"/>
      <c r="L75" s="46">
        <f t="shared" si="48"/>
        <v>16.5624</v>
      </c>
      <c r="M75" s="78">
        <f>402*1.03</f>
        <v>414.06</v>
      </c>
      <c r="N75" s="219">
        <f t="shared" si="42"/>
        <v>16.5624</v>
      </c>
    </row>
    <row r="76" spans="2:14" s="64" customFormat="1" ht="15.75" thickBot="1">
      <c r="B76" s="1677" t="s">
        <v>438</v>
      </c>
      <c r="C76" s="1678"/>
      <c r="D76" s="1678"/>
      <c r="E76" s="1678"/>
      <c r="F76" s="1678"/>
      <c r="G76" s="1678"/>
      <c r="H76" s="1678"/>
      <c r="I76" s="1678"/>
      <c r="J76" s="1682"/>
      <c r="K76" s="66"/>
      <c r="L76" s="46"/>
      <c r="M76" s="78"/>
      <c r="N76" s="219"/>
    </row>
    <row r="77" spans="2:14" s="64" customFormat="1" ht="45.75" customHeight="1">
      <c r="B77" s="118" t="s">
        <v>439</v>
      </c>
      <c r="C77" s="198" t="s">
        <v>106</v>
      </c>
      <c r="D77" s="199" t="s">
        <v>243</v>
      </c>
      <c r="E77" s="192">
        <f>M77*1.25</f>
        <v>238.1875</v>
      </c>
      <c r="F77" s="19">
        <f t="shared" ref="F77:F78" si="49">L77*1.2</f>
        <v>9.1463999999999999</v>
      </c>
      <c r="G77" s="12">
        <f t="shared" ref="G77:G78" si="50">(L77)*1.15</f>
        <v>8.7652999999999999</v>
      </c>
      <c r="H77" s="193">
        <f t="shared" ref="H77:H78" si="51">(L77)*1.1</f>
        <v>8.3842000000000017</v>
      </c>
      <c r="I77" s="200">
        <f t="shared" ref="I77:I78" si="52">(L77)*1.03</f>
        <v>7.8506600000000013</v>
      </c>
      <c r="J77" s="195">
        <f t="shared" ref="J77:J78" si="53">N77*1.03</f>
        <v>7.8506600000000013</v>
      </c>
      <c r="K77" s="66"/>
      <c r="L77" s="46">
        <f t="shared" ref="L77:L78" si="54">N77</f>
        <v>7.6220000000000008</v>
      </c>
      <c r="M77" s="78">
        <f>185*1.03</f>
        <v>190.55</v>
      </c>
      <c r="N77" s="219">
        <f t="shared" si="42"/>
        <v>7.6220000000000008</v>
      </c>
    </row>
    <row r="78" spans="2:14" s="64" customFormat="1" ht="45.75" thickBot="1">
      <c r="B78" s="116" t="s">
        <v>440</v>
      </c>
      <c r="C78" s="201" t="s">
        <v>106</v>
      </c>
      <c r="D78" s="202" t="s">
        <v>243</v>
      </c>
      <c r="E78" s="192">
        <f t="shared" ref="E78" si="55">M78*1.25</f>
        <v>230.46250000000001</v>
      </c>
      <c r="F78" s="19">
        <f t="shared" si="49"/>
        <v>8.8497599999999998</v>
      </c>
      <c r="G78" s="12">
        <f t="shared" si="50"/>
        <v>8.4810199999999991</v>
      </c>
      <c r="H78" s="193">
        <f t="shared" si="51"/>
        <v>8.1122800000000019</v>
      </c>
      <c r="I78" s="194">
        <f t="shared" si="52"/>
        <v>7.5960440000000009</v>
      </c>
      <c r="J78" s="195">
        <f t="shared" si="53"/>
        <v>7.5960440000000009</v>
      </c>
      <c r="K78" s="66"/>
      <c r="L78" s="46">
        <f t="shared" si="54"/>
        <v>7.3748000000000005</v>
      </c>
      <c r="M78" s="78">
        <f>179*1.03</f>
        <v>184.37</v>
      </c>
      <c r="N78" s="219">
        <f t="shared" si="42"/>
        <v>7.3748000000000005</v>
      </c>
    </row>
    <row r="79" spans="2:14" s="64" customFormat="1" ht="15.75" thickBot="1">
      <c r="B79" s="1677" t="s">
        <v>441</v>
      </c>
      <c r="C79" s="1678"/>
      <c r="D79" s="1678"/>
      <c r="E79" s="1678"/>
      <c r="F79" s="1678"/>
      <c r="G79" s="1678"/>
      <c r="H79" s="1678"/>
      <c r="I79" s="1678"/>
      <c r="J79" s="1682"/>
      <c r="K79" s="66"/>
      <c r="L79" s="46"/>
      <c r="M79" s="78"/>
      <c r="N79" s="219"/>
    </row>
    <row r="80" spans="2:14" s="64" customFormat="1" ht="60">
      <c r="B80" s="115" t="s">
        <v>442</v>
      </c>
      <c r="C80" s="211" t="s">
        <v>106</v>
      </c>
      <c r="D80" s="212" t="s">
        <v>243</v>
      </c>
      <c r="E80" s="189">
        <f>M80*1.25</f>
        <v>328.31250000000006</v>
      </c>
      <c r="F80" s="60">
        <f t="shared" ref="F80:F81" si="56">L80*1.2</f>
        <v>12.607200000000002</v>
      </c>
      <c r="G80" s="61">
        <f t="shared" ref="G80:G81" si="57">(L80)*1.15</f>
        <v>12.081900000000001</v>
      </c>
      <c r="H80" s="98">
        <f t="shared" ref="H80:H81" si="58">(L80)*1.1</f>
        <v>11.556600000000003</v>
      </c>
      <c r="I80" s="190">
        <f t="shared" ref="I80:I81" si="59">(L80)*1.03</f>
        <v>10.821180000000002</v>
      </c>
      <c r="J80" s="99">
        <f t="shared" ref="J80:J81" si="60">N80*1.03</f>
        <v>10.821180000000002</v>
      </c>
      <c r="K80" s="66"/>
      <c r="L80" s="46">
        <f t="shared" ref="L80:L81" si="61">N80</f>
        <v>10.506000000000002</v>
      </c>
      <c r="M80" s="78">
        <f>255*1.03</f>
        <v>262.65000000000003</v>
      </c>
      <c r="N80" s="219">
        <f t="shared" si="42"/>
        <v>10.506000000000002</v>
      </c>
    </row>
    <row r="81" spans="2:15" s="64" customFormat="1" ht="76.5" customHeight="1" thickBot="1">
      <c r="B81" s="327" t="s">
        <v>443</v>
      </c>
      <c r="C81" s="196" t="s">
        <v>106</v>
      </c>
      <c r="D81" s="197" t="s">
        <v>243</v>
      </c>
      <c r="E81" s="192">
        <f t="shared" ref="E81" si="62">M81*1.25</f>
        <v>409.42500000000001</v>
      </c>
      <c r="F81" s="19">
        <f t="shared" si="56"/>
        <v>15.721920000000001</v>
      </c>
      <c r="G81" s="12">
        <f t="shared" si="57"/>
        <v>15.066840000000001</v>
      </c>
      <c r="H81" s="193">
        <f t="shared" si="58"/>
        <v>14.411760000000003</v>
      </c>
      <c r="I81" s="194">
        <f t="shared" si="59"/>
        <v>13.494648000000002</v>
      </c>
      <c r="J81" s="195">
        <f t="shared" si="60"/>
        <v>13.494648000000002</v>
      </c>
      <c r="K81" s="66"/>
      <c r="L81" s="46">
        <f t="shared" si="61"/>
        <v>13.101600000000001</v>
      </c>
      <c r="M81" s="78">
        <f>318*1.03</f>
        <v>327.54000000000002</v>
      </c>
      <c r="N81" s="219">
        <f t="shared" si="42"/>
        <v>13.101600000000001</v>
      </c>
    </row>
    <row r="82" spans="2:15" s="64" customFormat="1" ht="15.75" thickBot="1">
      <c r="B82" s="1677" t="s">
        <v>444</v>
      </c>
      <c r="C82" s="1678"/>
      <c r="D82" s="1678"/>
      <c r="E82" s="1678"/>
      <c r="F82" s="1678"/>
      <c r="G82" s="1678"/>
      <c r="H82" s="1678"/>
      <c r="I82" s="1678"/>
      <c r="J82" s="1682"/>
      <c r="K82" s="66"/>
      <c r="L82" s="46"/>
      <c r="M82" s="78"/>
      <c r="N82" s="219"/>
    </row>
    <row r="83" spans="2:15" s="64" customFormat="1" ht="47.25" customHeight="1">
      <c r="B83" s="115" t="s">
        <v>445</v>
      </c>
      <c r="C83" s="211" t="s">
        <v>106</v>
      </c>
      <c r="D83" s="212" t="s">
        <v>243</v>
      </c>
      <c r="E83" s="189">
        <f>M83*1.25</f>
        <v>439.03750000000002</v>
      </c>
      <c r="F83" s="60">
        <f t="shared" ref="F83:F84" si="63">L83*1.2</f>
        <v>16.85904</v>
      </c>
      <c r="G83" s="61">
        <f t="shared" ref="G83:G84" si="64">(L83)*1.15</f>
        <v>16.156579999999998</v>
      </c>
      <c r="H83" s="98">
        <f t="shared" ref="H83:H84" si="65">(L83)*1.1</f>
        <v>15.454120000000001</v>
      </c>
      <c r="I83" s="190">
        <f t="shared" ref="I83:I84" si="66">(L83)*1.03</f>
        <v>14.470676000000001</v>
      </c>
      <c r="J83" s="99">
        <f t="shared" ref="J83:J84" si="67">N83*1.03</f>
        <v>14.470676000000001</v>
      </c>
      <c r="K83" s="66"/>
      <c r="L83" s="46">
        <f t="shared" ref="L83:L84" si="68">N83</f>
        <v>14.049200000000001</v>
      </c>
      <c r="M83" s="78">
        <f>341*1.03</f>
        <v>351.23</v>
      </c>
      <c r="N83" s="219">
        <f t="shared" si="42"/>
        <v>14.049200000000001</v>
      </c>
    </row>
    <row r="84" spans="2:15" s="64" customFormat="1" ht="75.75" thickBot="1">
      <c r="B84" s="328" t="s">
        <v>446</v>
      </c>
      <c r="C84" s="213" t="s">
        <v>106</v>
      </c>
      <c r="D84" s="214" t="s">
        <v>243</v>
      </c>
      <c r="E84" s="215">
        <f t="shared" ref="E84" si="69">M84*1.25</f>
        <v>463.5</v>
      </c>
      <c r="F84" s="20">
        <f t="shared" si="63"/>
        <v>17.798400000000001</v>
      </c>
      <c r="G84" s="15">
        <f t="shared" si="64"/>
        <v>17.056799999999999</v>
      </c>
      <c r="H84" s="216">
        <f t="shared" si="65"/>
        <v>16.315200000000001</v>
      </c>
      <c r="I84" s="217">
        <f t="shared" si="66"/>
        <v>15.276960000000001</v>
      </c>
      <c r="J84" s="218">
        <f t="shared" si="67"/>
        <v>15.276960000000001</v>
      </c>
      <c r="K84" s="66"/>
      <c r="L84" s="46">
        <f t="shared" si="68"/>
        <v>14.832000000000001</v>
      </c>
      <c r="M84" s="78">
        <f>360*1.03</f>
        <v>370.8</v>
      </c>
      <c r="N84" s="219">
        <f t="shared" si="42"/>
        <v>14.832000000000001</v>
      </c>
    </row>
    <row r="85" spans="2:15" s="89" customFormat="1" ht="15" customHeight="1">
      <c r="B85" s="82"/>
      <c r="C85" s="83"/>
      <c r="D85" s="83"/>
      <c r="E85" s="84"/>
      <c r="F85" s="84"/>
      <c r="G85" s="84"/>
      <c r="H85" s="84"/>
      <c r="I85" s="84"/>
      <c r="J85" s="84"/>
      <c r="K85" s="85"/>
      <c r="L85" s="86"/>
      <c r="M85" s="87"/>
      <c r="N85" s="88"/>
    </row>
    <row r="86" spans="2:15" s="89" customFormat="1" ht="15" customHeight="1" thickBot="1">
      <c r="B86" s="82"/>
      <c r="C86" s="83"/>
      <c r="D86" s="83"/>
      <c r="E86" s="84"/>
      <c r="F86" s="84"/>
      <c r="G86" s="84"/>
      <c r="H86" s="84"/>
      <c r="I86" s="84"/>
      <c r="J86" s="84"/>
      <c r="K86" s="85"/>
      <c r="L86" s="86"/>
      <c r="M86" s="87"/>
      <c r="N86" s="88"/>
    </row>
    <row r="87" spans="2:15" s="40" customFormat="1" ht="18" customHeight="1" thickBot="1">
      <c r="B87" s="1693" t="s">
        <v>493</v>
      </c>
      <c r="C87" s="1696" t="s">
        <v>140</v>
      </c>
      <c r="D87" s="1696" t="s">
        <v>99</v>
      </c>
      <c r="E87" s="1700" t="s">
        <v>113</v>
      </c>
      <c r="F87" s="1663" t="s">
        <v>114</v>
      </c>
      <c r="G87" s="1663"/>
      <c r="H87" s="1663"/>
      <c r="I87" s="1663"/>
      <c r="J87" s="1672"/>
      <c r="K87" s="70"/>
      <c r="L87" s="1664" t="s">
        <v>560</v>
      </c>
      <c r="M87" s="1665" t="s">
        <v>572</v>
      </c>
      <c r="N87" s="1692" t="s">
        <v>448</v>
      </c>
      <c r="O87" s="1703" t="s">
        <v>571</v>
      </c>
    </row>
    <row r="88" spans="2:15" s="40" customFormat="1" ht="18" thickBot="1">
      <c r="B88" s="1694"/>
      <c r="C88" s="1697"/>
      <c r="D88" s="1699"/>
      <c r="E88" s="1701"/>
      <c r="F88" s="1680" t="s">
        <v>38</v>
      </c>
      <c r="G88" s="1680"/>
      <c r="H88" s="1680"/>
      <c r="I88" s="1681"/>
      <c r="J88" s="105" t="s">
        <v>22</v>
      </c>
      <c r="K88" s="70"/>
      <c r="L88" s="1664"/>
      <c r="M88" s="1665"/>
      <c r="N88" s="1692"/>
      <c r="O88" s="1703"/>
    </row>
    <row r="89" spans="2:15" s="40" customFormat="1" ht="18" thickBot="1">
      <c r="B89" s="1695"/>
      <c r="C89" s="1698"/>
      <c r="D89" s="1698"/>
      <c r="E89" s="1702"/>
      <c r="F89" s="114" t="s">
        <v>101</v>
      </c>
      <c r="G89" s="75" t="s">
        <v>102</v>
      </c>
      <c r="H89" s="254" t="s">
        <v>103</v>
      </c>
      <c r="I89" s="186" t="s">
        <v>104</v>
      </c>
      <c r="J89" s="106" t="s">
        <v>104</v>
      </c>
      <c r="K89" s="70"/>
      <c r="L89" s="1664"/>
      <c r="M89" s="1665"/>
      <c r="N89" s="1692"/>
      <c r="O89" s="1703"/>
    </row>
    <row r="90" spans="2:15" ht="15.75" thickBot="1">
      <c r="B90" s="1677" t="s">
        <v>228</v>
      </c>
      <c r="C90" s="1678"/>
      <c r="D90" s="1678"/>
      <c r="E90" s="1678"/>
      <c r="F90" s="1670"/>
      <c r="G90" s="1670"/>
      <c r="H90" s="1670"/>
      <c r="I90" s="1670"/>
      <c r="J90" s="1679"/>
    </row>
    <row r="91" spans="2:15" s="64" customFormat="1">
      <c r="B91" s="348" t="s">
        <v>494</v>
      </c>
      <c r="C91" s="211" t="s">
        <v>111</v>
      </c>
      <c r="D91" s="212"/>
      <c r="E91" s="189">
        <f>M91*1.25</f>
        <v>293.85041666666672</v>
      </c>
      <c r="F91" s="60">
        <f>L91*1.2</f>
        <v>10.243213333333333</v>
      </c>
      <c r="G91" s="61">
        <f>(L91)*1.15</f>
        <v>9.8164127777777779</v>
      </c>
      <c r="H91" s="98">
        <f>(L91)*1.1</f>
        <v>9.3896122222222242</v>
      </c>
      <c r="I91" s="190">
        <f>(L91)*1.03</f>
        <v>8.7920914444444449</v>
      </c>
      <c r="J91" s="99">
        <f t="shared" ref="J91:J106" si="70">N91*1.03</f>
        <v>8.0710914444444448</v>
      </c>
      <c r="K91" s="66"/>
      <c r="L91" s="46">
        <f>N91+0.7</f>
        <v>8.5360111111111117</v>
      </c>
      <c r="M91" s="77">
        <f t="shared" ref="M91:M106" si="71">O91/1.2*1.03</f>
        <v>235.08033333333336</v>
      </c>
      <c r="N91" s="219">
        <f>M91/C91</f>
        <v>7.8360111111111115</v>
      </c>
      <c r="O91" s="78">
        <v>273.88</v>
      </c>
    </row>
    <row r="92" spans="2:15" s="64" customFormat="1">
      <c r="B92" s="349" t="s">
        <v>506</v>
      </c>
      <c r="C92" s="187" t="s">
        <v>111</v>
      </c>
      <c r="D92" s="188"/>
      <c r="E92" s="192">
        <f t="shared" ref="E92:E106" si="72">M92*1.25</f>
        <v>224.91552083333332</v>
      </c>
      <c r="F92" s="19">
        <f t="shared" ref="F92:F98" si="73">L92*1.2</f>
        <v>8.0372966666666663</v>
      </c>
      <c r="G92" s="12">
        <f t="shared" ref="G92:G98" si="74">(L92)*1.15</f>
        <v>7.7024093055555545</v>
      </c>
      <c r="H92" s="193">
        <f t="shared" ref="H92:H98" si="75">(L92)*1.1</f>
        <v>7.3675219444444444</v>
      </c>
      <c r="I92" s="194">
        <f t="shared" ref="I92:I98" si="76">(L92)*1.03</f>
        <v>6.898679638888888</v>
      </c>
      <c r="J92" s="195">
        <f t="shared" si="70"/>
        <v>6.1776796388888879</v>
      </c>
      <c r="K92" s="66"/>
      <c r="L92" s="46">
        <f t="shared" ref="L92:L155" si="77">N92+0.7</f>
        <v>6.6977472222222216</v>
      </c>
      <c r="M92" s="77">
        <f t="shared" si="71"/>
        <v>179.93241666666665</v>
      </c>
      <c r="N92" s="219">
        <f>M92/C92</f>
        <v>5.9977472222222215</v>
      </c>
      <c r="O92" s="78">
        <v>209.63</v>
      </c>
    </row>
    <row r="93" spans="2:15" s="64" customFormat="1">
      <c r="B93" s="349" t="s">
        <v>505</v>
      </c>
      <c r="C93" s="187" t="s">
        <v>111</v>
      </c>
      <c r="D93" s="188"/>
      <c r="E93" s="192">
        <f t="shared" si="72"/>
        <v>274.35552083333334</v>
      </c>
      <c r="F93" s="19">
        <f t="shared" si="73"/>
        <v>9.6193766666666676</v>
      </c>
      <c r="G93" s="12">
        <f t="shared" si="74"/>
        <v>9.2185693055555564</v>
      </c>
      <c r="H93" s="193">
        <f t="shared" si="75"/>
        <v>8.8177619444444453</v>
      </c>
      <c r="I93" s="194">
        <f t="shared" si="76"/>
        <v>8.2566316388888907</v>
      </c>
      <c r="J93" s="195">
        <f t="shared" si="70"/>
        <v>7.5356316388888898</v>
      </c>
      <c r="K93" s="66"/>
      <c r="L93" s="46">
        <f t="shared" si="77"/>
        <v>8.016147222222223</v>
      </c>
      <c r="M93" s="77">
        <f t="shared" si="71"/>
        <v>219.48441666666668</v>
      </c>
      <c r="N93" s="219">
        <f t="shared" ref="N93:N156" si="78">M93/C93</f>
        <v>7.3161472222222228</v>
      </c>
      <c r="O93" s="78">
        <v>255.71</v>
      </c>
    </row>
    <row r="94" spans="2:15" s="64" customFormat="1">
      <c r="B94" s="349" t="s">
        <v>507</v>
      </c>
      <c r="C94" s="187" t="s">
        <v>111</v>
      </c>
      <c r="D94" s="188"/>
      <c r="E94" s="192">
        <f t="shared" si="72"/>
        <v>307.07947916666666</v>
      </c>
      <c r="F94" s="19">
        <f t="shared" si="73"/>
        <v>10.666543333333331</v>
      </c>
      <c r="G94" s="12">
        <f t="shared" si="74"/>
        <v>10.222104027777775</v>
      </c>
      <c r="H94" s="193">
        <f t="shared" si="75"/>
        <v>9.7776647222222213</v>
      </c>
      <c r="I94" s="194">
        <f t="shared" si="76"/>
        <v>9.1554496944444423</v>
      </c>
      <c r="J94" s="195">
        <f t="shared" si="70"/>
        <v>8.434449694444444</v>
      </c>
      <c r="K94" s="66"/>
      <c r="L94" s="46">
        <f t="shared" si="77"/>
        <v>8.8887861111111093</v>
      </c>
      <c r="M94" s="77">
        <f t="shared" si="71"/>
        <v>245.66358333333332</v>
      </c>
      <c r="N94" s="219">
        <f t="shared" si="78"/>
        <v>8.18878611111111</v>
      </c>
      <c r="O94" s="78">
        <v>286.20999999999998</v>
      </c>
    </row>
    <row r="95" spans="2:15" s="64" customFormat="1">
      <c r="B95" s="349" t="s">
        <v>495</v>
      </c>
      <c r="C95" s="187" t="s">
        <v>106</v>
      </c>
      <c r="D95" s="188"/>
      <c r="E95" s="192">
        <f t="shared" si="72"/>
        <v>160.15427083333336</v>
      </c>
      <c r="F95" s="19">
        <f t="shared" si="73"/>
        <v>6.9899240000000011</v>
      </c>
      <c r="G95" s="12">
        <f t="shared" si="74"/>
        <v>6.6986771666666671</v>
      </c>
      <c r="H95" s="193">
        <f t="shared" si="75"/>
        <v>6.4074303333333349</v>
      </c>
      <c r="I95" s="194">
        <f t="shared" si="76"/>
        <v>5.9996847666666682</v>
      </c>
      <c r="J95" s="195">
        <f t="shared" si="70"/>
        <v>5.2786847666666681</v>
      </c>
      <c r="K95" s="66"/>
      <c r="L95" s="46">
        <f t="shared" si="77"/>
        <v>5.8249366666666678</v>
      </c>
      <c r="M95" s="77">
        <f t="shared" si="71"/>
        <v>128.12341666666669</v>
      </c>
      <c r="N95" s="219">
        <f t="shared" si="78"/>
        <v>5.1249366666666676</v>
      </c>
      <c r="O95" s="78">
        <v>149.27000000000001</v>
      </c>
    </row>
    <row r="96" spans="2:15" s="64" customFormat="1">
      <c r="B96" s="349" t="s">
        <v>496</v>
      </c>
      <c r="C96" s="187" t="s">
        <v>106</v>
      </c>
      <c r="D96" s="188"/>
      <c r="E96" s="192">
        <f t="shared" si="72"/>
        <v>215.48458333333338</v>
      </c>
      <c r="F96" s="19">
        <f t="shared" si="73"/>
        <v>9.1146080000000005</v>
      </c>
      <c r="G96" s="12">
        <f t="shared" si="74"/>
        <v>8.7348326666666676</v>
      </c>
      <c r="H96" s="193">
        <f t="shared" si="75"/>
        <v>8.3550573333333347</v>
      </c>
      <c r="I96" s="194">
        <f t="shared" si="76"/>
        <v>7.8233718666666681</v>
      </c>
      <c r="J96" s="195">
        <f t="shared" si="70"/>
        <v>7.102371866666668</v>
      </c>
      <c r="K96" s="66"/>
      <c r="L96" s="46">
        <f t="shared" si="77"/>
        <v>7.595506666666668</v>
      </c>
      <c r="M96" s="77">
        <f t="shared" si="71"/>
        <v>172.38766666666669</v>
      </c>
      <c r="N96" s="219">
        <f t="shared" si="78"/>
        <v>6.8955066666666678</v>
      </c>
      <c r="O96" s="78">
        <v>200.84</v>
      </c>
    </row>
    <row r="97" spans="2:15" s="64" customFormat="1">
      <c r="B97" s="349" t="s">
        <v>497</v>
      </c>
      <c r="C97" s="187" t="s">
        <v>111</v>
      </c>
      <c r="D97" s="188"/>
      <c r="E97" s="192">
        <f t="shared" si="72"/>
        <v>235.14041666666668</v>
      </c>
      <c r="F97" s="19">
        <f t="shared" si="73"/>
        <v>8.3644933333333338</v>
      </c>
      <c r="G97" s="12">
        <f t="shared" si="74"/>
        <v>8.0159727777777778</v>
      </c>
      <c r="H97" s="193">
        <f t="shared" si="75"/>
        <v>7.6674522222222237</v>
      </c>
      <c r="I97" s="194">
        <f t="shared" si="76"/>
        <v>7.1795234444444453</v>
      </c>
      <c r="J97" s="195">
        <f t="shared" si="70"/>
        <v>6.4585234444444453</v>
      </c>
      <c r="K97" s="66"/>
      <c r="L97" s="46">
        <f t="shared" si="77"/>
        <v>6.9704111111111118</v>
      </c>
      <c r="M97" s="77">
        <f t="shared" si="71"/>
        <v>188.11233333333334</v>
      </c>
      <c r="N97" s="219">
        <f t="shared" si="78"/>
        <v>6.2704111111111116</v>
      </c>
      <c r="O97" s="78">
        <v>219.16</v>
      </c>
    </row>
    <row r="98" spans="2:15" s="64" customFormat="1">
      <c r="B98" s="349" t="s">
        <v>498</v>
      </c>
      <c r="C98" s="187" t="s">
        <v>106</v>
      </c>
      <c r="D98" s="188"/>
      <c r="E98" s="192">
        <f t="shared" si="72"/>
        <v>416.39895833333333</v>
      </c>
      <c r="F98" s="19">
        <f t="shared" si="73"/>
        <v>16.829719999999998</v>
      </c>
      <c r="G98" s="12">
        <f t="shared" si="74"/>
        <v>16.128481666666666</v>
      </c>
      <c r="H98" s="193">
        <f t="shared" si="75"/>
        <v>15.427243333333335</v>
      </c>
      <c r="I98" s="194">
        <f t="shared" si="76"/>
        <v>14.445509666666666</v>
      </c>
      <c r="J98" s="195">
        <f t="shared" si="70"/>
        <v>13.724509666666668</v>
      </c>
      <c r="K98" s="66"/>
      <c r="L98" s="46">
        <f t="shared" si="77"/>
        <v>14.024766666666666</v>
      </c>
      <c r="M98" s="77">
        <f t="shared" si="71"/>
        <v>333.11916666666667</v>
      </c>
      <c r="N98" s="219">
        <f t="shared" si="78"/>
        <v>13.324766666666667</v>
      </c>
      <c r="O98" s="78">
        <v>388.1</v>
      </c>
    </row>
    <row r="99" spans="2:15" s="64" customFormat="1">
      <c r="B99" s="349" t="s">
        <v>499</v>
      </c>
      <c r="C99" s="187" t="s">
        <v>106</v>
      </c>
      <c r="D99" s="188"/>
      <c r="E99" s="192">
        <f t="shared" si="72"/>
        <v>389.24343750000003</v>
      </c>
      <c r="F99" s="19">
        <f t="shared" ref="F99:F102" si="79">L99*1.2</f>
        <v>15.786948000000001</v>
      </c>
      <c r="G99" s="12">
        <f t="shared" ref="G99:G102" si="80">(L99)*1.15</f>
        <v>15.129158500000001</v>
      </c>
      <c r="H99" s="193">
        <f t="shared" ref="H99:H102" si="81">(L99)*1.1</f>
        <v>14.471369000000003</v>
      </c>
      <c r="I99" s="194">
        <f t="shared" ref="I99:I102" si="82">(L99)*1.03</f>
        <v>13.550463700000002</v>
      </c>
      <c r="J99" s="195">
        <f t="shared" si="70"/>
        <v>12.829463700000003</v>
      </c>
      <c r="K99" s="66"/>
      <c r="L99" s="46">
        <f t="shared" si="77"/>
        <v>13.155790000000001</v>
      </c>
      <c r="M99" s="77">
        <f t="shared" si="71"/>
        <v>311.39475000000004</v>
      </c>
      <c r="N99" s="219">
        <f t="shared" si="78"/>
        <v>12.455790000000002</v>
      </c>
      <c r="O99" s="78">
        <v>362.79</v>
      </c>
    </row>
    <row r="100" spans="2:15" s="64" customFormat="1">
      <c r="B100" s="349" t="s">
        <v>500</v>
      </c>
      <c r="C100" s="187" t="s">
        <v>106</v>
      </c>
      <c r="D100" s="188"/>
      <c r="E100" s="192">
        <f t="shared" si="72"/>
        <v>331.44541666666669</v>
      </c>
      <c r="F100" s="19">
        <f t="shared" si="79"/>
        <v>13.567504000000001</v>
      </c>
      <c r="G100" s="12">
        <f t="shared" si="80"/>
        <v>13.002191333333334</v>
      </c>
      <c r="H100" s="193">
        <f t="shared" si="81"/>
        <v>12.436878666666669</v>
      </c>
      <c r="I100" s="194">
        <f t="shared" si="82"/>
        <v>11.645440933333335</v>
      </c>
      <c r="J100" s="195">
        <f t="shared" si="70"/>
        <v>10.924440933333335</v>
      </c>
      <c r="K100" s="66"/>
      <c r="L100" s="46">
        <f t="shared" si="77"/>
        <v>11.306253333333334</v>
      </c>
      <c r="M100" s="77">
        <f t="shared" si="71"/>
        <v>265.15633333333335</v>
      </c>
      <c r="N100" s="219">
        <f t="shared" si="78"/>
        <v>10.606253333333335</v>
      </c>
      <c r="O100" s="78">
        <v>308.92</v>
      </c>
    </row>
    <row r="101" spans="2:15" s="64" customFormat="1">
      <c r="B101" s="349" t="s">
        <v>508</v>
      </c>
      <c r="C101" s="187" t="s">
        <v>106</v>
      </c>
      <c r="D101" s="188"/>
      <c r="E101" s="192">
        <f t="shared" si="72"/>
        <v>389.24343750000003</v>
      </c>
      <c r="F101" s="19">
        <f t="shared" si="79"/>
        <v>15.786948000000001</v>
      </c>
      <c r="G101" s="12">
        <f t="shared" si="80"/>
        <v>15.129158500000001</v>
      </c>
      <c r="H101" s="193">
        <f t="shared" si="81"/>
        <v>14.471369000000003</v>
      </c>
      <c r="I101" s="194">
        <f t="shared" si="82"/>
        <v>13.550463700000002</v>
      </c>
      <c r="J101" s="195">
        <f t="shared" si="70"/>
        <v>12.829463700000003</v>
      </c>
      <c r="K101" s="66"/>
      <c r="L101" s="46">
        <f t="shared" si="77"/>
        <v>13.155790000000001</v>
      </c>
      <c r="M101" s="77">
        <f t="shared" si="71"/>
        <v>311.39475000000004</v>
      </c>
      <c r="N101" s="219">
        <f t="shared" si="78"/>
        <v>12.455790000000002</v>
      </c>
      <c r="O101" s="78">
        <v>362.79</v>
      </c>
    </row>
    <row r="102" spans="2:15" s="64" customFormat="1">
      <c r="B102" s="349" t="s">
        <v>501</v>
      </c>
      <c r="C102" s="187" t="s">
        <v>106</v>
      </c>
      <c r="D102" s="188"/>
      <c r="E102" s="192">
        <f t="shared" si="72"/>
        <v>209.59427083333333</v>
      </c>
      <c r="F102" s="19">
        <f t="shared" si="79"/>
        <v>8.88842</v>
      </c>
      <c r="G102" s="12">
        <f t="shared" si="80"/>
        <v>8.518069166666665</v>
      </c>
      <c r="H102" s="193">
        <f t="shared" si="81"/>
        <v>8.1477183333333336</v>
      </c>
      <c r="I102" s="194">
        <f t="shared" si="82"/>
        <v>7.6292271666666664</v>
      </c>
      <c r="J102" s="195">
        <f t="shared" si="70"/>
        <v>6.9082271666666664</v>
      </c>
      <c r="K102" s="66"/>
      <c r="L102" s="46">
        <f t="shared" si="77"/>
        <v>7.4070166666666664</v>
      </c>
      <c r="M102" s="77">
        <f t="shared" si="71"/>
        <v>167.67541666666665</v>
      </c>
      <c r="N102" s="219">
        <f t="shared" si="78"/>
        <v>6.7070166666666662</v>
      </c>
      <c r="O102" s="78">
        <v>195.35</v>
      </c>
    </row>
    <row r="103" spans="2:15" s="64" customFormat="1">
      <c r="B103" s="349" t="s">
        <v>502</v>
      </c>
      <c r="C103" s="187" t="s">
        <v>121</v>
      </c>
      <c r="D103" s="188"/>
      <c r="E103" s="192">
        <f t="shared" si="72"/>
        <v>295.24520833333338</v>
      </c>
      <c r="F103" s="19">
        <f t="shared" ref="F103:F104" si="83">L103*1.2</f>
        <v>15.01177</v>
      </c>
      <c r="G103" s="12">
        <f t="shared" ref="G103:G104" si="84">(L103)*1.15</f>
        <v>14.386279583333334</v>
      </c>
      <c r="H103" s="193">
        <f t="shared" ref="H103:H104" si="85">(L103)*1.1</f>
        <v>13.760789166666669</v>
      </c>
      <c r="I103" s="194">
        <f t="shared" ref="I103:I104" si="86">(L103)*1.03</f>
        <v>12.885102583333333</v>
      </c>
      <c r="J103" s="195">
        <f t="shared" si="70"/>
        <v>12.164102583333335</v>
      </c>
      <c r="K103" s="66"/>
      <c r="L103" s="46">
        <f t="shared" si="77"/>
        <v>12.509808333333334</v>
      </c>
      <c r="M103" s="77">
        <f t="shared" si="71"/>
        <v>236.1961666666667</v>
      </c>
      <c r="N103" s="219">
        <f t="shared" si="78"/>
        <v>11.809808333333335</v>
      </c>
      <c r="O103" s="78">
        <v>275.18</v>
      </c>
    </row>
    <row r="104" spans="2:15" s="64" customFormat="1" ht="25.5">
      <c r="B104" s="349" t="s">
        <v>503</v>
      </c>
      <c r="C104" s="187" t="s">
        <v>106</v>
      </c>
      <c r="D104" s="188"/>
      <c r="E104" s="192">
        <f t="shared" si="72"/>
        <v>357.91427083333332</v>
      </c>
      <c r="F104" s="19">
        <f t="shared" si="83"/>
        <v>14.583907999999997</v>
      </c>
      <c r="G104" s="12">
        <f t="shared" si="84"/>
        <v>13.976245166666665</v>
      </c>
      <c r="H104" s="193">
        <f t="shared" si="85"/>
        <v>13.368582333333334</v>
      </c>
      <c r="I104" s="194">
        <f t="shared" si="86"/>
        <v>12.517854366666667</v>
      </c>
      <c r="J104" s="195">
        <f t="shared" si="70"/>
        <v>11.796854366666667</v>
      </c>
      <c r="K104" s="66"/>
      <c r="L104" s="46">
        <f t="shared" si="77"/>
        <v>12.153256666666666</v>
      </c>
      <c r="M104" s="219">
        <f t="shared" si="71"/>
        <v>286.33141666666666</v>
      </c>
      <c r="N104" s="219">
        <f t="shared" si="78"/>
        <v>11.453256666666666</v>
      </c>
      <c r="O104" s="78">
        <v>333.59</v>
      </c>
    </row>
    <row r="105" spans="2:15" s="64" customFormat="1">
      <c r="B105" s="349" t="s">
        <v>504</v>
      </c>
      <c r="C105" s="187" t="s">
        <v>106</v>
      </c>
      <c r="D105" s="188"/>
      <c r="E105" s="192">
        <f t="shared" si="72"/>
        <v>200.53885416666668</v>
      </c>
      <c r="F105" s="19">
        <f t="shared" ref="F105:F106" si="87">L105*1.2</f>
        <v>8.540692</v>
      </c>
      <c r="G105" s="12">
        <f t="shared" ref="G105:G106" si="88">(L105)*1.15</f>
        <v>8.1848298333333336</v>
      </c>
      <c r="H105" s="193">
        <f t="shared" ref="H105:H106" si="89">(L105)*1.1</f>
        <v>7.8289676666666672</v>
      </c>
      <c r="I105" s="194">
        <f t="shared" ref="I105:I106" si="90">(L105)*1.03</f>
        <v>7.3307606333333339</v>
      </c>
      <c r="J105" s="195">
        <f t="shared" si="70"/>
        <v>6.6097606333333339</v>
      </c>
      <c r="K105" s="66"/>
      <c r="L105" s="46">
        <f t="shared" si="77"/>
        <v>7.1172433333333336</v>
      </c>
      <c r="M105" s="77">
        <f t="shared" si="71"/>
        <v>160.43108333333333</v>
      </c>
      <c r="N105" s="219">
        <f t="shared" si="78"/>
        <v>6.4172433333333334</v>
      </c>
      <c r="O105" s="78">
        <v>186.91</v>
      </c>
    </row>
    <row r="106" spans="2:15" s="64" customFormat="1" ht="15.75" thickBot="1">
      <c r="B106" s="350" t="s">
        <v>505</v>
      </c>
      <c r="C106" s="329" t="s">
        <v>556</v>
      </c>
      <c r="D106" s="330"/>
      <c r="E106" s="215">
        <f t="shared" si="72"/>
        <v>83.558750000000003</v>
      </c>
      <c r="F106" s="20">
        <f t="shared" si="87"/>
        <v>16.883280000000003</v>
      </c>
      <c r="G106" s="15">
        <f t="shared" si="88"/>
        <v>16.17981</v>
      </c>
      <c r="H106" s="216">
        <f t="shared" si="89"/>
        <v>15.476340000000004</v>
      </c>
      <c r="I106" s="217">
        <f t="shared" si="90"/>
        <v>14.491482000000001</v>
      </c>
      <c r="J106" s="218">
        <f t="shared" si="70"/>
        <v>13.770482000000003</v>
      </c>
      <c r="K106" s="66"/>
      <c r="L106" s="46">
        <f t="shared" si="77"/>
        <v>14.069400000000002</v>
      </c>
      <c r="M106" s="77">
        <f t="shared" si="71"/>
        <v>66.847000000000008</v>
      </c>
      <c r="N106" s="219">
        <f t="shared" si="78"/>
        <v>13.369400000000002</v>
      </c>
      <c r="O106" s="78">
        <v>77.88</v>
      </c>
    </row>
    <row r="107" spans="2:15" ht="15.75" thickBot="1">
      <c r="B107" s="1677" t="s">
        <v>511</v>
      </c>
      <c r="C107" s="1678"/>
      <c r="D107" s="1678"/>
      <c r="E107" s="1678"/>
      <c r="F107" s="1670"/>
      <c r="G107" s="1670"/>
      <c r="H107" s="1670"/>
      <c r="I107" s="1670"/>
      <c r="J107" s="1679"/>
      <c r="M107" s="77"/>
      <c r="N107" s="219"/>
      <c r="O107" s="78"/>
    </row>
    <row r="108" spans="2:15" s="64" customFormat="1">
      <c r="B108" s="348" t="s">
        <v>509</v>
      </c>
      <c r="C108" s="211" t="s">
        <v>106</v>
      </c>
      <c r="D108" s="212"/>
      <c r="E108" s="189">
        <f>M108*1.25</f>
        <v>98.665416666666658</v>
      </c>
      <c r="F108" s="60">
        <f>L108*1.2</f>
        <v>4.6287520000000004</v>
      </c>
      <c r="G108" s="61">
        <f>(L108)*1.15</f>
        <v>4.4358873333333335</v>
      </c>
      <c r="H108" s="98">
        <f>(L108)*1.1</f>
        <v>4.2430226666666675</v>
      </c>
      <c r="I108" s="190">
        <f>(L108)*1.03</f>
        <v>3.9730121333333339</v>
      </c>
      <c r="J108" s="99">
        <f>N108*1.03</f>
        <v>3.2520121333333334</v>
      </c>
      <c r="K108" s="66"/>
      <c r="L108" s="46">
        <f t="shared" si="77"/>
        <v>3.8572933333333337</v>
      </c>
      <c r="M108" s="77">
        <f>O108/1.2*1.03</f>
        <v>78.932333333333332</v>
      </c>
      <c r="N108" s="219">
        <f t="shared" si="78"/>
        <v>3.1572933333333335</v>
      </c>
      <c r="O108" s="78">
        <v>91.96</v>
      </c>
    </row>
    <row r="109" spans="2:15" s="64" customFormat="1" ht="15.75" thickBot="1">
      <c r="B109" s="350" t="s">
        <v>510</v>
      </c>
      <c r="C109" s="329" t="s">
        <v>106</v>
      </c>
      <c r="D109" s="330"/>
      <c r="E109" s="215">
        <f>M109*1.25</f>
        <v>107.93541666666667</v>
      </c>
      <c r="F109" s="20">
        <f t="shared" ref="F109" si="91">L109*1.2</f>
        <v>4.9847199999999994</v>
      </c>
      <c r="G109" s="15">
        <f t="shared" ref="G109" si="92">(L109)*1.15</f>
        <v>4.7770233333333323</v>
      </c>
      <c r="H109" s="216">
        <f t="shared" ref="H109" si="93">(L109)*1.1</f>
        <v>4.5693266666666661</v>
      </c>
      <c r="I109" s="217">
        <f t="shared" ref="I109" si="94">(L109)*1.03</f>
        <v>4.2785513333333327</v>
      </c>
      <c r="J109" s="218">
        <f>N109*1.03</f>
        <v>3.5575513333333331</v>
      </c>
      <c r="K109" s="66"/>
      <c r="L109" s="46">
        <f t="shared" si="77"/>
        <v>4.1539333333333328</v>
      </c>
      <c r="M109" s="77">
        <f>O109/1.2*1.03</f>
        <v>86.348333333333329</v>
      </c>
      <c r="N109" s="219">
        <f t="shared" si="78"/>
        <v>3.4539333333333331</v>
      </c>
      <c r="O109" s="78">
        <v>100.6</v>
      </c>
    </row>
    <row r="110" spans="2:15" ht="15.75" thickBot="1">
      <c r="B110" s="1677" t="s">
        <v>512</v>
      </c>
      <c r="C110" s="1678"/>
      <c r="D110" s="1678"/>
      <c r="E110" s="1678"/>
      <c r="F110" s="1670"/>
      <c r="G110" s="1670"/>
      <c r="H110" s="1670"/>
      <c r="I110" s="1670"/>
      <c r="J110" s="1679"/>
      <c r="M110" s="77"/>
      <c r="N110" s="219"/>
      <c r="O110" s="78"/>
    </row>
    <row r="111" spans="2:15" s="64" customFormat="1">
      <c r="B111" s="348" t="s">
        <v>513</v>
      </c>
      <c r="C111" s="211" t="s">
        <v>106</v>
      </c>
      <c r="D111" s="212"/>
      <c r="E111" s="189">
        <f>M111*1.25</f>
        <v>227.12572916666664</v>
      </c>
      <c r="F111" s="60">
        <f>L111*1.2</f>
        <v>9.5616279999999989</v>
      </c>
      <c r="G111" s="61">
        <f>(L111)*1.15</f>
        <v>9.1632268333333329</v>
      </c>
      <c r="H111" s="98">
        <f>(L111)*1.1</f>
        <v>8.7648256666666668</v>
      </c>
      <c r="I111" s="190">
        <f>(L111)*1.03</f>
        <v>8.2070640333333333</v>
      </c>
      <c r="J111" s="99">
        <f t="shared" ref="J111:J117" si="95">N111*1.03</f>
        <v>7.4860640333333333</v>
      </c>
      <c r="K111" s="66"/>
      <c r="L111" s="46">
        <f t="shared" si="77"/>
        <v>7.968023333333333</v>
      </c>
      <c r="M111" s="77">
        <f t="shared" ref="M111:M117" si="96">O111/1.2*1.03</f>
        <v>181.70058333333333</v>
      </c>
      <c r="N111" s="219">
        <f t="shared" si="78"/>
        <v>7.2680233333333328</v>
      </c>
      <c r="O111" s="78">
        <v>211.69</v>
      </c>
    </row>
    <row r="112" spans="2:15" s="64" customFormat="1">
      <c r="B112" s="349" t="s">
        <v>514</v>
      </c>
      <c r="C112" s="187" t="s">
        <v>106</v>
      </c>
      <c r="D112" s="188"/>
      <c r="E112" s="192">
        <f t="shared" ref="E112:E117" si="97">M112*1.25</f>
        <v>339.96437500000002</v>
      </c>
      <c r="F112" s="19">
        <f t="shared" ref="F112:F117" si="98">L112*1.2</f>
        <v>13.894631999999998</v>
      </c>
      <c r="G112" s="12">
        <f t="shared" ref="G112:G117" si="99">(L112)*1.15</f>
        <v>13.315688999999997</v>
      </c>
      <c r="H112" s="193">
        <f t="shared" ref="H112:H117" si="100">(L112)*1.1</f>
        <v>12.736746</v>
      </c>
      <c r="I112" s="194">
        <f t="shared" ref="I112:I117" si="101">(L112)*1.03</f>
        <v>11.926225799999999</v>
      </c>
      <c r="J112" s="195">
        <f t="shared" si="95"/>
        <v>11.205225799999999</v>
      </c>
      <c r="K112" s="66"/>
      <c r="L112" s="46">
        <f t="shared" si="77"/>
        <v>11.578859999999999</v>
      </c>
      <c r="M112" s="77">
        <f t="shared" si="96"/>
        <v>271.97149999999999</v>
      </c>
      <c r="N112" s="219">
        <f t="shared" si="78"/>
        <v>10.87886</v>
      </c>
      <c r="O112" s="78">
        <v>316.86</v>
      </c>
    </row>
    <row r="113" spans="2:15" s="64" customFormat="1">
      <c r="B113" s="349" t="s">
        <v>515</v>
      </c>
      <c r="C113" s="187" t="s">
        <v>106</v>
      </c>
      <c r="D113" s="188"/>
      <c r="E113" s="192">
        <f t="shared" si="97"/>
        <v>250.41875000000002</v>
      </c>
      <c r="F113" s="19">
        <f t="shared" si="98"/>
        <v>10.45608</v>
      </c>
      <c r="G113" s="12">
        <f t="shared" si="99"/>
        <v>10.02041</v>
      </c>
      <c r="H113" s="193">
        <f t="shared" si="100"/>
        <v>9.58474</v>
      </c>
      <c r="I113" s="194">
        <f t="shared" si="101"/>
        <v>8.9748020000000004</v>
      </c>
      <c r="J113" s="195">
        <f t="shared" si="95"/>
        <v>8.2538020000000003</v>
      </c>
      <c r="K113" s="66"/>
      <c r="L113" s="46">
        <f t="shared" si="77"/>
        <v>8.7134</v>
      </c>
      <c r="M113" s="77">
        <f t="shared" si="96"/>
        <v>200.33500000000001</v>
      </c>
      <c r="N113" s="219">
        <f t="shared" si="78"/>
        <v>8.0134000000000007</v>
      </c>
      <c r="O113" s="78">
        <v>233.4</v>
      </c>
    </row>
    <row r="114" spans="2:15" s="64" customFormat="1">
      <c r="B114" s="349" t="s">
        <v>516</v>
      </c>
      <c r="C114" s="187" t="s">
        <v>106</v>
      </c>
      <c r="D114" s="188"/>
      <c r="E114" s="192">
        <f t="shared" si="97"/>
        <v>289.73041666666671</v>
      </c>
      <c r="F114" s="19">
        <f t="shared" si="98"/>
        <v>11.965648</v>
      </c>
      <c r="G114" s="12">
        <f t="shared" si="99"/>
        <v>11.467079333333333</v>
      </c>
      <c r="H114" s="193">
        <f t="shared" si="100"/>
        <v>10.968510666666669</v>
      </c>
      <c r="I114" s="194">
        <f t="shared" si="101"/>
        <v>10.270514533333335</v>
      </c>
      <c r="J114" s="195">
        <f t="shared" si="95"/>
        <v>9.5495145333333351</v>
      </c>
      <c r="K114" s="66"/>
      <c r="L114" s="46">
        <f t="shared" si="77"/>
        <v>9.9713733333333341</v>
      </c>
      <c r="M114" s="77">
        <f t="shared" si="96"/>
        <v>231.78433333333336</v>
      </c>
      <c r="N114" s="219">
        <f t="shared" si="78"/>
        <v>9.2713733333333348</v>
      </c>
      <c r="O114" s="78">
        <v>270.04000000000002</v>
      </c>
    </row>
    <row r="115" spans="2:15" s="64" customFormat="1">
      <c r="B115" s="349" t="s">
        <v>517</v>
      </c>
      <c r="C115" s="187" t="s">
        <v>106</v>
      </c>
      <c r="D115" s="188"/>
      <c r="E115" s="192">
        <f t="shared" si="97"/>
        <v>187.08447916666668</v>
      </c>
      <c r="F115" s="19">
        <f t="shared" si="98"/>
        <v>8.024044</v>
      </c>
      <c r="G115" s="12">
        <f t="shared" si="99"/>
        <v>7.6897088333333334</v>
      </c>
      <c r="H115" s="193">
        <f t="shared" si="100"/>
        <v>7.3553736666666678</v>
      </c>
      <c r="I115" s="194">
        <f t="shared" si="101"/>
        <v>6.887304433333334</v>
      </c>
      <c r="J115" s="195">
        <f t="shared" si="95"/>
        <v>6.1663044333333339</v>
      </c>
      <c r="K115" s="66"/>
      <c r="L115" s="46">
        <f t="shared" si="77"/>
        <v>6.6867033333333339</v>
      </c>
      <c r="M115" s="77">
        <f t="shared" si="96"/>
        <v>149.66758333333334</v>
      </c>
      <c r="N115" s="219">
        <f t="shared" si="78"/>
        <v>5.9867033333333337</v>
      </c>
      <c r="O115" s="78">
        <v>174.37</v>
      </c>
    </row>
    <row r="116" spans="2:15" s="64" customFormat="1">
      <c r="B116" s="349" t="s">
        <v>518</v>
      </c>
      <c r="C116" s="187" t="s">
        <v>121</v>
      </c>
      <c r="D116" s="188"/>
      <c r="E116" s="192">
        <f t="shared" si="97"/>
        <v>209.65864583333337</v>
      </c>
      <c r="F116" s="19">
        <f t="shared" si="98"/>
        <v>10.903614999999999</v>
      </c>
      <c r="G116" s="12">
        <f t="shared" si="99"/>
        <v>10.449297708333331</v>
      </c>
      <c r="H116" s="193">
        <f t="shared" si="100"/>
        <v>9.9949804166666674</v>
      </c>
      <c r="I116" s="194">
        <f t="shared" si="101"/>
        <v>9.3589362083333327</v>
      </c>
      <c r="J116" s="195">
        <f t="shared" si="95"/>
        <v>8.6379362083333344</v>
      </c>
      <c r="K116" s="66"/>
      <c r="L116" s="46">
        <f t="shared" si="77"/>
        <v>9.0863458333333327</v>
      </c>
      <c r="M116" s="77">
        <f t="shared" si="96"/>
        <v>167.72691666666668</v>
      </c>
      <c r="N116" s="219">
        <f t="shared" si="78"/>
        <v>8.3863458333333334</v>
      </c>
      <c r="O116" s="78">
        <v>195.41</v>
      </c>
    </row>
    <row r="117" spans="2:15" s="64" customFormat="1" ht="15.75" thickBot="1">
      <c r="B117" s="350" t="s">
        <v>519</v>
      </c>
      <c r="C117" s="329" t="s">
        <v>111</v>
      </c>
      <c r="D117" s="330"/>
      <c r="E117" s="215">
        <f t="shared" si="97"/>
        <v>281.72645833333331</v>
      </c>
      <c r="F117" s="20">
        <f t="shared" si="98"/>
        <v>9.855246666666666</v>
      </c>
      <c r="G117" s="15">
        <f t="shared" si="99"/>
        <v>9.4446113888888874</v>
      </c>
      <c r="H117" s="216">
        <f t="shared" si="100"/>
        <v>9.0339761111111105</v>
      </c>
      <c r="I117" s="217">
        <f t="shared" si="101"/>
        <v>8.4590867222222226</v>
      </c>
      <c r="J117" s="218">
        <f t="shared" si="95"/>
        <v>7.7380867222222225</v>
      </c>
      <c r="K117" s="66"/>
      <c r="L117" s="46">
        <f t="shared" si="77"/>
        <v>8.212705555555555</v>
      </c>
      <c r="M117" s="77">
        <f t="shared" si="96"/>
        <v>225.38116666666667</v>
      </c>
      <c r="N117" s="219">
        <f t="shared" si="78"/>
        <v>7.5127055555555557</v>
      </c>
      <c r="O117" s="78">
        <v>262.58</v>
      </c>
    </row>
    <row r="118" spans="2:15" ht="15.75" thickBot="1">
      <c r="B118" s="1677" t="s">
        <v>520</v>
      </c>
      <c r="C118" s="1678"/>
      <c r="D118" s="1678"/>
      <c r="E118" s="1678"/>
      <c r="F118" s="1670"/>
      <c r="G118" s="1670"/>
      <c r="H118" s="1670"/>
      <c r="I118" s="1670"/>
      <c r="J118" s="1679"/>
      <c r="M118" s="77"/>
      <c r="N118" s="219"/>
      <c r="O118" s="78"/>
    </row>
    <row r="119" spans="2:15" s="64" customFormat="1">
      <c r="B119" s="348" t="s">
        <v>521</v>
      </c>
      <c r="C119" s="211" t="s">
        <v>123</v>
      </c>
      <c r="D119" s="212"/>
      <c r="E119" s="189">
        <f>M119*1.25</f>
        <v>448.43625000000003</v>
      </c>
      <c r="F119" s="60">
        <f>L119*1.2</f>
        <v>29.539920000000002</v>
      </c>
      <c r="G119" s="61">
        <f>(L119)*1.15</f>
        <v>28.309090000000001</v>
      </c>
      <c r="H119" s="98">
        <f>(L119)*1.1</f>
        <v>27.078260000000004</v>
      </c>
      <c r="I119" s="190">
        <f>(L119)*1.03</f>
        <v>25.355098000000002</v>
      </c>
      <c r="J119" s="99">
        <f>N119*1.03</f>
        <v>24.634098000000002</v>
      </c>
      <c r="K119" s="66"/>
      <c r="L119" s="46">
        <f t="shared" si="77"/>
        <v>24.616600000000002</v>
      </c>
      <c r="M119" s="77">
        <f>O119/1.2*1.03</f>
        <v>358.74900000000002</v>
      </c>
      <c r="N119" s="219">
        <f t="shared" si="78"/>
        <v>23.916600000000003</v>
      </c>
      <c r="O119" s="78">
        <v>417.96</v>
      </c>
    </row>
    <row r="120" spans="2:15" s="64" customFormat="1" ht="15.75" thickBot="1">
      <c r="B120" s="350" t="s">
        <v>521</v>
      </c>
      <c r="C120" s="329" t="s">
        <v>557</v>
      </c>
      <c r="D120" s="330"/>
      <c r="E120" s="215">
        <f>M120*1.25</f>
        <v>232.95166666666665</v>
      </c>
      <c r="F120" s="20">
        <f t="shared" ref="F120" si="102">L120*1.2</f>
        <v>32.787657142857142</v>
      </c>
      <c r="G120" s="15">
        <f t="shared" ref="G120" si="103">(L120)*1.15</f>
        <v>31.421504761904757</v>
      </c>
      <c r="H120" s="216">
        <f t="shared" ref="H120" si="104">(L120)*1.1</f>
        <v>30.055352380952382</v>
      </c>
      <c r="I120" s="217">
        <f t="shared" ref="I120" si="105">(L120)*1.03</f>
        <v>28.142739047619045</v>
      </c>
      <c r="J120" s="218">
        <f>N120*1.03</f>
        <v>27.421739047619049</v>
      </c>
      <c r="K120" s="66"/>
      <c r="L120" s="46">
        <f t="shared" si="77"/>
        <v>27.323047619047617</v>
      </c>
      <c r="M120" s="77">
        <f>O120/1.2*1.03</f>
        <v>186.36133333333333</v>
      </c>
      <c r="N120" s="219">
        <f t="shared" si="78"/>
        <v>26.623047619047618</v>
      </c>
      <c r="O120" s="78">
        <v>217.12</v>
      </c>
    </row>
    <row r="121" spans="2:15" ht="15.75" thickBot="1">
      <c r="B121" s="1677" t="s">
        <v>522</v>
      </c>
      <c r="C121" s="1678"/>
      <c r="D121" s="1678"/>
      <c r="E121" s="1678"/>
      <c r="F121" s="1670"/>
      <c r="G121" s="1670"/>
      <c r="H121" s="1670"/>
      <c r="I121" s="1670"/>
      <c r="J121" s="1679"/>
      <c r="M121" s="77"/>
      <c r="N121" s="219"/>
      <c r="O121" s="78"/>
    </row>
    <row r="122" spans="2:15" s="64" customFormat="1">
      <c r="B122" s="351" t="s">
        <v>523</v>
      </c>
      <c r="C122" s="211" t="s">
        <v>121</v>
      </c>
      <c r="D122" s="212"/>
      <c r="E122" s="189">
        <f>M122*1.25</f>
        <v>249.28145833333335</v>
      </c>
      <c r="F122" s="60">
        <f>L122*1.2</f>
        <v>12.80551</v>
      </c>
      <c r="G122" s="61">
        <f>(L122)*1.15</f>
        <v>12.271947083333334</v>
      </c>
      <c r="H122" s="98">
        <f>(L122)*1.1</f>
        <v>11.738384166666668</v>
      </c>
      <c r="I122" s="190">
        <f>(L122)*1.03</f>
        <v>10.991396083333335</v>
      </c>
      <c r="J122" s="99">
        <f t="shared" ref="J122:J132" si="106">N122*1.03</f>
        <v>10.270396083333335</v>
      </c>
      <c r="K122" s="66"/>
      <c r="L122" s="46">
        <f t="shared" si="77"/>
        <v>10.671258333333334</v>
      </c>
      <c r="M122" s="77">
        <f t="shared" ref="M122:M132" si="107">O122/1.2*1.03</f>
        <v>199.42516666666668</v>
      </c>
      <c r="N122" s="219">
        <f t="shared" si="78"/>
        <v>9.9712583333333349</v>
      </c>
      <c r="O122" s="78">
        <v>232.34</v>
      </c>
    </row>
    <row r="123" spans="2:15" s="64" customFormat="1">
      <c r="B123" s="352" t="s">
        <v>524</v>
      </c>
      <c r="C123" s="187" t="s">
        <v>556</v>
      </c>
      <c r="D123" s="188"/>
      <c r="E123" s="192">
        <f t="shared" ref="E123:E132" si="108">M123*1.25</f>
        <v>94.695625000000021</v>
      </c>
      <c r="F123" s="19">
        <f t="shared" ref="F123:F132" si="109">L123*1.2</f>
        <v>19.021560000000001</v>
      </c>
      <c r="G123" s="12">
        <f t="shared" ref="G123:G132" si="110">(L123)*1.15</f>
        <v>18.228995000000001</v>
      </c>
      <c r="H123" s="193">
        <f t="shared" ref="H123:H132" si="111">(L123)*1.1</f>
        <v>17.436430000000005</v>
      </c>
      <c r="I123" s="194">
        <f t="shared" ref="I123:I132" si="112">(L123)*1.03</f>
        <v>16.326839000000003</v>
      </c>
      <c r="J123" s="195">
        <f t="shared" si="106"/>
        <v>15.605839000000003</v>
      </c>
      <c r="K123" s="66"/>
      <c r="L123" s="46">
        <f t="shared" si="77"/>
        <v>15.851300000000002</v>
      </c>
      <c r="M123" s="77">
        <f t="shared" si="107"/>
        <v>75.756500000000017</v>
      </c>
      <c r="N123" s="219">
        <f t="shared" si="78"/>
        <v>15.151300000000003</v>
      </c>
      <c r="O123" s="78">
        <v>88.26</v>
      </c>
    </row>
    <row r="124" spans="2:15" s="64" customFormat="1">
      <c r="B124" s="352" t="s">
        <v>525</v>
      </c>
      <c r="C124" s="187" t="s">
        <v>121</v>
      </c>
      <c r="D124" s="188"/>
      <c r="E124" s="192">
        <f t="shared" si="108"/>
        <v>201.81562500000001</v>
      </c>
      <c r="F124" s="19">
        <f t="shared" si="109"/>
        <v>10.527149999999999</v>
      </c>
      <c r="G124" s="12">
        <f t="shared" si="110"/>
        <v>10.088518749999999</v>
      </c>
      <c r="H124" s="193">
        <f t="shared" si="111"/>
        <v>9.6498875000000002</v>
      </c>
      <c r="I124" s="194">
        <f t="shared" si="112"/>
        <v>9.0358037499999995</v>
      </c>
      <c r="J124" s="195">
        <f t="shared" si="106"/>
        <v>8.3148037500000012</v>
      </c>
      <c r="K124" s="66"/>
      <c r="L124" s="46">
        <f t="shared" si="77"/>
        <v>8.7726249999999997</v>
      </c>
      <c r="M124" s="77">
        <f t="shared" si="107"/>
        <v>161.45250000000001</v>
      </c>
      <c r="N124" s="219">
        <f t="shared" si="78"/>
        <v>8.0726250000000004</v>
      </c>
      <c r="O124" s="78">
        <v>188.1</v>
      </c>
    </row>
    <row r="125" spans="2:15" s="64" customFormat="1">
      <c r="B125" s="352" t="s">
        <v>526</v>
      </c>
      <c r="C125" s="187" t="s">
        <v>121</v>
      </c>
      <c r="D125" s="188"/>
      <c r="E125" s="192">
        <f t="shared" si="108"/>
        <v>261.81312500000001</v>
      </c>
      <c r="F125" s="19">
        <f t="shared" ref="F125:F130" si="113">L125*1.2</f>
        <v>13.407030000000001</v>
      </c>
      <c r="G125" s="12">
        <f t="shared" ref="G125:G130" si="114">(L125)*1.15</f>
        <v>12.848403749999999</v>
      </c>
      <c r="H125" s="193">
        <f t="shared" ref="H125:H130" si="115">(L125)*1.1</f>
        <v>12.289777500000001</v>
      </c>
      <c r="I125" s="194">
        <f t="shared" ref="I125:I130" si="116">(L125)*1.03</f>
        <v>11.50770075</v>
      </c>
      <c r="J125" s="195">
        <f t="shared" si="106"/>
        <v>10.786700750000001</v>
      </c>
      <c r="K125" s="66"/>
      <c r="L125" s="46">
        <f t="shared" si="77"/>
        <v>11.172525</v>
      </c>
      <c r="M125" s="77">
        <f t="shared" si="107"/>
        <v>209.45050000000003</v>
      </c>
      <c r="N125" s="219">
        <f t="shared" si="78"/>
        <v>10.472525000000001</v>
      </c>
      <c r="O125" s="78">
        <v>244.02</v>
      </c>
    </row>
    <row r="126" spans="2:15" s="64" customFormat="1">
      <c r="B126" s="352" t="s">
        <v>527</v>
      </c>
      <c r="C126" s="187" t="s">
        <v>556</v>
      </c>
      <c r="D126" s="188"/>
      <c r="E126" s="192">
        <f t="shared" si="108"/>
        <v>112.10906250000001</v>
      </c>
      <c r="F126" s="19">
        <f t="shared" si="113"/>
        <v>22.364940000000001</v>
      </c>
      <c r="G126" s="12">
        <f t="shared" si="114"/>
        <v>21.4330675</v>
      </c>
      <c r="H126" s="193">
        <f t="shared" si="115"/>
        <v>20.501195000000003</v>
      </c>
      <c r="I126" s="194">
        <f t="shared" si="116"/>
        <v>19.196573500000003</v>
      </c>
      <c r="J126" s="195">
        <f t="shared" si="106"/>
        <v>18.475573500000003</v>
      </c>
      <c r="K126" s="66"/>
      <c r="L126" s="46">
        <f t="shared" si="77"/>
        <v>18.637450000000001</v>
      </c>
      <c r="M126" s="77">
        <f t="shared" si="107"/>
        <v>89.687250000000006</v>
      </c>
      <c r="N126" s="219">
        <f t="shared" si="78"/>
        <v>17.937450000000002</v>
      </c>
      <c r="O126" s="78">
        <v>104.49</v>
      </c>
    </row>
    <row r="127" spans="2:15" s="64" customFormat="1">
      <c r="B127" s="352" t="s">
        <v>528</v>
      </c>
      <c r="C127" s="187" t="s">
        <v>121</v>
      </c>
      <c r="D127" s="188"/>
      <c r="E127" s="192">
        <f t="shared" si="108"/>
        <v>259.73166666666668</v>
      </c>
      <c r="F127" s="19">
        <f t="shared" si="113"/>
        <v>13.307119999999999</v>
      </c>
      <c r="G127" s="12">
        <f t="shared" si="114"/>
        <v>12.752656666666667</v>
      </c>
      <c r="H127" s="193">
        <f t="shared" si="115"/>
        <v>12.198193333333334</v>
      </c>
      <c r="I127" s="194">
        <f t="shared" si="116"/>
        <v>11.421944666666667</v>
      </c>
      <c r="J127" s="195">
        <f t="shared" si="106"/>
        <v>10.700944666666668</v>
      </c>
      <c r="K127" s="66"/>
      <c r="L127" s="46">
        <f t="shared" si="77"/>
        <v>11.089266666666667</v>
      </c>
      <c r="M127" s="77">
        <f t="shared" si="107"/>
        <v>207.78533333333334</v>
      </c>
      <c r="N127" s="219">
        <f t="shared" si="78"/>
        <v>10.389266666666668</v>
      </c>
      <c r="O127" s="78">
        <v>242.08</v>
      </c>
    </row>
    <row r="128" spans="2:15" s="64" customFormat="1">
      <c r="B128" s="352" t="s">
        <v>529</v>
      </c>
      <c r="C128" s="187" t="s">
        <v>121</v>
      </c>
      <c r="D128" s="188"/>
      <c r="E128" s="192">
        <f t="shared" si="108"/>
        <v>362.08791666666673</v>
      </c>
      <c r="F128" s="19">
        <f t="shared" si="113"/>
        <v>18.220220000000001</v>
      </c>
      <c r="G128" s="12">
        <f t="shared" si="114"/>
        <v>17.461044166666667</v>
      </c>
      <c r="H128" s="193">
        <f t="shared" si="115"/>
        <v>16.701868333333337</v>
      </c>
      <c r="I128" s="194">
        <f t="shared" si="116"/>
        <v>15.639022166666669</v>
      </c>
      <c r="J128" s="195">
        <f t="shared" si="106"/>
        <v>14.918022166666669</v>
      </c>
      <c r="K128" s="66"/>
      <c r="L128" s="46">
        <f t="shared" si="77"/>
        <v>15.183516666666668</v>
      </c>
      <c r="M128" s="77">
        <f t="shared" si="107"/>
        <v>289.67033333333336</v>
      </c>
      <c r="N128" s="219">
        <f t="shared" si="78"/>
        <v>14.483516666666668</v>
      </c>
      <c r="O128" s="78">
        <v>337.48</v>
      </c>
    </row>
    <row r="129" spans="2:15" s="64" customFormat="1">
      <c r="B129" s="352" t="s">
        <v>530</v>
      </c>
      <c r="C129" s="187" t="s">
        <v>92</v>
      </c>
      <c r="D129" s="188"/>
      <c r="E129" s="192">
        <f t="shared" si="108"/>
        <v>200.53885416666668</v>
      </c>
      <c r="F129" s="19">
        <f t="shared" si="113"/>
        <v>16.883108333333332</v>
      </c>
      <c r="G129" s="12">
        <f t="shared" si="114"/>
        <v>16.179645486111109</v>
      </c>
      <c r="H129" s="193">
        <f t="shared" si="115"/>
        <v>15.47618263888889</v>
      </c>
      <c r="I129" s="194">
        <f t="shared" si="116"/>
        <v>14.491334652777777</v>
      </c>
      <c r="J129" s="195">
        <f t="shared" si="106"/>
        <v>13.770334652777779</v>
      </c>
      <c r="K129" s="66"/>
      <c r="L129" s="46">
        <f t="shared" si="77"/>
        <v>14.069256944444444</v>
      </c>
      <c r="M129" s="77">
        <f t="shared" si="107"/>
        <v>160.43108333333333</v>
      </c>
      <c r="N129" s="219">
        <f t="shared" si="78"/>
        <v>13.369256944444444</v>
      </c>
      <c r="O129" s="78">
        <v>186.91</v>
      </c>
    </row>
    <row r="130" spans="2:15" s="64" customFormat="1">
      <c r="B130" s="352" t="s">
        <v>531</v>
      </c>
      <c r="C130" s="331" t="s">
        <v>121</v>
      </c>
      <c r="D130" s="332"/>
      <c r="E130" s="333">
        <f t="shared" si="108"/>
        <v>331.44541666666669</v>
      </c>
      <c r="F130" s="334">
        <f t="shared" si="113"/>
        <v>16.749379999999999</v>
      </c>
      <c r="G130" s="335">
        <f t="shared" si="114"/>
        <v>16.051489166666666</v>
      </c>
      <c r="H130" s="336">
        <f t="shared" si="115"/>
        <v>15.353598333333334</v>
      </c>
      <c r="I130" s="337">
        <f t="shared" si="116"/>
        <v>14.376551166666667</v>
      </c>
      <c r="J130" s="338">
        <f t="shared" si="106"/>
        <v>13.655551166666667</v>
      </c>
      <c r="K130" s="66"/>
      <c r="L130" s="46">
        <f t="shared" si="77"/>
        <v>13.957816666666666</v>
      </c>
      <c r="M130" s="77">
        <f t="shared" si="107"/>
        <v>265.15633333333335</v>
      </c>
      <c r="N130" s="219">
        <f t="shared" si="78"/>
        <v>13.257816666666667</v>
      </c>
      <c r="O130" s="78">
        <v>308.92</v>
      </c>
    </row>
    <row r="131" spans="2:15" s="64" customFormat="1">
      <c r="B131" s="353" t="s">
        <v>532</v>
      </c>
      <c r="C131" s="187" t="s">
        <v>121</v>
      </c>
      <c r="D131" s="188"/>
      <c r="E131" s="192">
        <f t="shared" si="108"/>
        <v>317.51895833333333</v>
      </c>
      <c r="F131" s="19">
        <f t="shared" si="109"/>
        <v>16.080909999999999</v>
      </c>
      <c r="G131" s="12">
        <f t="shared" si="110"/>
        <v>15.410872083333333</v>
      </c>
      <c r="H131" s="193">
        <f t="shared" si="111"/>
        <v>14.740834166666669</v>
      </c>
      <c r="I131" s="200">
        <f t="shared" si="112"/>
        <v>13.802781083333334</v>
      </c>
      <c r="J131" s="195">
        <f t="shared" si="106"/>
        <v>13.081781083333334</v>
      </c>
      <c r="K131" s="66"/>
      <c r="L131" s="46">
        <f t="shared" si="77"/>
        <v>13.400758333333334</v>
      </c>
      <c r="M131" s="77">
        <f t="shared" si="107"/>
        <v>254.01516666666669</v>
      </c>
      <c r="N131" s="219">
        <f t="shared" si="78"/>
        <v>12.700758333333335</v>
      </c>
      <c r="O131" s="78">
        <v>295.94</v>
      </c>
    </row>
    <row r="132" spans="2:15" s="64" customFormat="1" ht="15.75" thickBot="1">
      <c r="B132" s="354" t="s">
        <v>533</v>
      </c>
      <c r="C132" s="329" t="s">
        <v>121</v>
      </c>
      <c r="D132" s="330"/>
      <c r="E132" s="215">
        <f t="shared" si="108"/>
        <v>246.78156250000001</v>
      </c>
      <c r="F132" s="20">
        <f t="shared" si="109"/>
        <v>12.685514999999999</v>
      </c>
      <c r="G132" s="15">
        <f t="shared" si="110"/>
        <v>12.156951874999999</v>
      </c>
      <c r="H132" s="216">
        <f t="shared" si="111"/>
        <v>11.628388750000001</v>
      </c>
      <c r="I132" s="217">
        <f t="shared" si="112"/>
        <v>10.888400375</v>
      </c>
      <c r="J132" s="218">
        <f t="shared" si="106"/>
        <v>10.167400375</v>
      </c>
      <c r="K132" s="66"/>
      <c r="L132" s="46">
        <f t="shared" si="77"/>
        <v>10.5712625</v>
      </c>
      <c r="M132" s="77">
        <f t="shared" si="107"/>
        <v>197.42525000000001</v>
      </c>
      <c r="N132" s="219">
        <f t="shared" si="78"/>
        <v>9.8712625000000003</v>
      </c>
      <c r="O132" s="78">
        <v>230.01</v>
      </c>
    </row>
    <row r="133" spans="2:15" ht="15.75" thickBot="1">
      <c r="B133" s="1677" t="s">
        <v>534</v>
      </c>
      <c r="C133" s="1678"/>
      <c r="D133" s="1678"/>
      <c r="E133" s="1678"/>
      <c r="F133" s="1670"/>
      <c r="G133" s="1670"/>
      <c r="H133" s="1670"/>
      <c r="I133" s="1670"/>
      <c r="J133" s="1679"/>
      <c r="M133" s="77"/>
      <c r="N133" s="219"/>
      <c r="O133" s="78"/>
    </row>
    <row r="134" spans="2:15" s="64" customFormat="1" ht="15.75" thickBot="1">
      <c r="B134" s="339" t="s">
        <v>523</v>
      </c>
      <c r="C134" s="340" t="s">
        <v>106</v>
      </c>
      <c r="D134" s="341"/>
      <c r="E134" s="342">
        <f>M134*1.25</f>
        <v>555.44895833333339</v>
      </c>
      <c r="F134" s="343">
        <f>L134*1.2</f>
        <v>22.169240000000002</v>
      </c>
      <c r="G134" s="344">
        <f>(L134)*1.15</f>
        <v>21.245521666666669</v>
      </c>
      <c r="H134" s="345">
        <f>(L134)*1.1</f>
        <v>20.321803333333335</v>
      </c>
      <c r="I134" s="346">
        <f>(L134)*1.03</f>
        <v>19.02859766666667</v>
      </c>
      <c r="J134" s="347">
        <f>N134*1.03</f>
        <v>18.30759766666667</v>
      </c>
      <c r="K134" s="66"/>
      <c r="L134" s="46">
        <f t="shared" si="77"/>
        <v>18.474366666666668</v>
      </c>
      <c r="M134" s="77">
        <f>O134/1.2*1.03</f>
        <v>444.35916666666674</v>
      </c>
      <c r="N134" s="219">
        <f t="shared" si="78"/>
        <v>17.774366666666669</v>
      </c>
      <c r="O134" s="78">
        <v>517.70000000000005</v>
      </c>
    </row>
    <row r="135" spans="2:15" ht="15.75" thickBot="1">
      <c r="B135" s="1677" t="s">
        <v>535</v>
      </c>
      <c r="C135" s="1678"/>
      <c r="D135" s="1678"/>
      <c r="E135" s="1678"/>
      <c r="F135" s="1670"/>
      <c r="G135" s="1670"/>
      <c r="H135" s="1670"/>
      <c r="I135" s="1670"/>
      <c r="J135" s="1679"/>
      <c r="M135" s="77"/>
      <c r="N135" s="219"/>
      <c r="O135" s="78"/>
    </row>
    <row r="136" spans="2:15" s="64" customFormat="1">
      <c r="B136" s="348" t="s">
        <v>536</v>
      </c>
      <c r="C136" s="211" t="s">
        <v>106</v>
      </c>
      <c r="D136" s="212"/>
      <c r="E136" s="189">
        <f>M136*1.25</f>
        <v>341.895625</v>
      </c>
      <c r="F136" s="60">
        <f>L136*1.2</f>
        <v>13.968792000000001</v>
      </c>
      <c r="G136" s="61">
        <f>(L136)*1.15</f>
        <v>13.386759</v>
      </c>
      <c r="H136" s="98">
        <f>(L136)*1.1</f>
        <v>12.804726000000002</v>
      </c>
      <c r="I136" s="190">
        <f>(L136)*1.03</f>
        <v>11.989879800000001</v>
      </c>
      <c r="J136" s="99">
        <f>N136*1.03</f>
        <v>11.268879800000002</v>
      </c>
      <c r="K136" s="66"/>
      <c r="L136" s="46">
        <f t="shared" si="77"/>
        <v>11.64066</v>
      </c>
      <c r="M136" s="77">
        <f>O136/1.2*1.03</f>
        <v>273.51650000000001</v>
      </c>
      <c r="N136" s="219">
        <f t="shared" si="78"/>
        <v>10.940660000000001</v>
      </c>
      <c r="O136" s="78">
        <v>318.66000000000003</v>
      </c>
    </row>
    <row r="137" spans="2:15" s="64" customFormat="1">
      <c r="B137" s="349" t="s">
        <v>537</v>
      </c>
      <c r="C137" s="187" t="s">
        <v>106</v>
      </c>
      <c r="D137" s="188"/>
      <c r="E137" s="192">
        <f t="shared" ref="E137:E140" si="117">M137*1.25</f>
        <v>153.88843750000001</v>
      </c>
      <c r="F137" s="19">
        <f t="shared" ref="F137:F140" si="118">L137*1.2</f>
        <v>6.7493160000000003</v>
      </c>
      <c r="G137" s="12">
        <f t="shared" ref="G137:G140" si="119">(L137)*1.15</f>
        <v>6.4680944999999994</v>
      </c>
      <c r="H137" s="193">
        <f t="shared" ref="H137:H140" si="120">(L137)*1.1</f>
        <v>6.1868730000000012</v>
      </c>
      <c r="I137" s="194">
        <f t="shared" ref="I137:I140" si="121">(L137)*1.03</f>
        <v>5.7931629000000004</v>
      </c>
      <c r="J137" s="195">
        <f>N137*1.03</f>
        <v>5.0721629000000004</v>
      </c>
      <c r="K137" s="66"/>
      <c r="L137" s="46">
        <f t="shared" si="77"/>
        <v>5.6244300000000003</v>
      </c>
      <c r="M137" s="77">
        <f>O137/1.2*1.03</f>
        <v>123.11075000000001</v>
      </c>
      <c r="N137" s="219">
        <f t="shared" si="78"/>
        <v>4.9244300000000001</v>
      </c>
      <c r="O137" s="78">
        <v>143.43</v>
      </c>
    </row>
    <row r="138" spans="2:15" s="64" customFormat="1">
      <c r="B138" s="349" t="s">
        <v>538</v>
      </c>
      <c r="C138" s="187" t="s">
        <v>106</v>
      </c>
      <c r="D138" s="188"/>
      <c r="E138" s="192">
        <f t="shared" si="117"/>
        <v>206.8046875</v>
      </c>
      <c r="F138" s="19">
        <f t="shared" si="118"/>
        <v>8.7812999999999999</v>
      </c>
      <c r="G138" s="12">
        <f t="shared" si="119"/>
        <v>8.4154125000000004</v>
      </c>
      <c r="H138" s="193">
        <f t="shared" si="120"/>
        <v>8.0495250000000009</v>
      </c>
      <c r="I138" s="194">
        <f t="shared" si="121"/>
        <v>7.5372825000000008</v>
      </c>
      <c r="J138" s="195">
        <f>N138*1.03</f>
        <v>6.8162824999999998</v>
      </c>
      <c r="K138" s="66"/>
      <c r="L138" s="46">
        <f t="shared" si="77"/>
        <v>7.3177500000000002</v>
      </c>
      <c r="M138" s="77">
        <f>O138/1.2*1.03</f>
        <v>165.44374999999999</v>
      </c>
      <c r="N138" s="219">
        <f t="shared" si="78"/>
        <v>6.61775</v>
      </c>
      <c r="O138" s="78">
        <v>192.75</v>
      </c>
    </row>
    <row r="139" spans="2:15" s="64" customFormat="1">
      <c r="B139" s="349" t="s">
        <v>539</v>
      </c>
      <c r="C139" s="187" t="s">
        <v>106</v>
      </c>
      <c r="D139" s="188"/>
      <c r="E139" s="192">
        <f t="shared" si="117"/>
        <v>236.74979166666668</v>
      </c>
      <c r="F139" s="19">
        <f t="shared" si="118"/>
        <v>9.9311919999999976</v>
      </c>
      <c r="G139" s="12">
        <f t="shared" si="119"/>
        <v>9.5173923333333317</v>
      </c>
      <c r="H139" s="193">
        <f t="shared" si="120"/>
        <v>9.1035926666666658</v>
      </c>
      <c r="I139" s="194">
        <f t="shared" si="121"/>
        <v>8.5242731333333328</v>
      </c>
      <c r="J139" s="195">
        <f>N139*1.03</f>
        <v>7.8032731333333327</v>
      </c>
      <c r="K139" s="66"/>
      <c r="L139" s="46">
        <f t="shared" si="77"/>
        <v>8.2759933333333322</v>
      </c>
      <c r="M139" s="77">
        <f>O139/1.2*1.03</f>
        <v>189.39983333333333</v>
      </c>
      <c r="N139" s="219">
        <f t="shared" si="78"/>
        <v>7.5759933333333329</v>
      </c>
      <c r="O139" s="78">
        <v>220.66</v>
      </c>
    </row>
    <row r="140" spans="2:15" s="64" customFormat="1" ht="15.75" thickBot="1">
      <c r="B140" s="350" t="s">
        <v>540</v>
      </c>
      <c r="C140" s="329" t="s">
        <v>106</v>
      </c>
      <c r="D140" s="330"/>
      <c r="E140" s="215">
        <f t="shared" si="117"/>
        <v>250.67624999999998</v>
      </c>
      <c r="F140" s="20">
        <f t="shared" si="118"/>
        <v>10.465967999999998</v>
      </c>
      <c r="G140" s="15">
        <f t="shared" si="119"/>
        <v>10.029885999999998</v>
      </c>
      <c r="H140" s="216">
        <f t="shared" si="120"/>
        <v>9.5938040000000004</v>
      </c>
      <c r="I140" s="217">
        <f t="shared" si="121"/>
        <v>8.9832891999999998</v>
      </c>
      <c r="J140" s="218">
        <f>N140*1.03</f>
        <v>8.2622891999999997</v>
      </c>
      <c r="K140" s="66"/>
      <c r="L140" s="46">
        <f t="shared" si="77"/>
        <v>8.7216399999999989</v>
      </c>
      <c r="M140" s="77">
        <f>O140/1.2*1.03</f>
        <v>200.541</v>
      </c>
      <c r="N140" s="219">
        <f t="shared" si="78"/>
        <v>8.0216399999999997</v>
      </c>
      <c r="O140" s="78">
        <v>233.64</v>
      </c>
    </row>
    <row r="141" spans="2:15" ht="15.75" thickBot="1">
      <c r="B141" s="1677" t="s">
        <v>541</v>
      </c>
      <c r="C141" s="1678"/>
      <c r="D141" s="1678"/>
      <c r="E141" s="1678"/>
      <c r="F141" s="1670"/>
      <c r="G141" s="1670"/>
      <c r="H141" s="1670"/>
      <c r="I141" s="1670"/>
      <c r="J141" s="1679"/>
      <c r="M141" s="77"/>
      <c r="N141" s="219"/>
      <c r="O141" s="78"/>
    </row>
    <row r="142" spans="2:15" s="64" customFormat="1" ht="25.5">
      <c r="B142" s="348" t="s">
        <v>558</v>
      </c>
      <c r="C142" s="211" t="s">
        <v>106</v>
      </c>
      <c r="D142" s="212"/>
      <c r="E142" s="189">
        <f>M142*1.25</f>
        <v>259.03427083333338</v>
      </c>
      <c r="F142" s="60">
        <f>L142*1.2</f>
        <v>10.786916</v>
      </c>
      <c r="G142" s="61">
        <f>(L142)*1.15</f>
        <v>10.337461166666666</v>
      </c>
      <c r="H142" s="98">
        <f>(L142)*1.1</f>
        <v>9.888006333333335</v>
      </c>
      <c r="I142" s="190">
        <f>(L142)*1.03</f>
        <v>9.2587695666666665</v>
      </c>
      <c r="J142" s="99">
        <f>N142*1.03</f>
        <v>8.5377695666666682</v>
      </c>
      <c r="K142" s="66"/>
      <c r="L142" s="46">
        <f t="shared" si="77"/>
        <v>8.9890966666666667</v>
      </c>
      <c r="M142" s="219">
        <f>O142/1.2*1.03</f>
        <v>207.2274166666667</v>
      </c>
      <c r="N142" s="219">
        <f t="shared" si="78"/>
        <v>8.2890966666666674</v>
      </c>
      <c r="O142" s="78">
        <v>241.43</v>
      </c>
    </row>
    <row r="143" spans="2:15" s="64" customFormat="1">
      <c r="B143" s="349" t="s">
        <v>542</v>
      </c>
      <c r="C143" s="187" t="s">
        <v>106</v>
      </c>
      <c r="D143" s="188"/>
      <c r="E143" s="192">
        <f t="shared" ref="E143:E146" si="122">M143*1.25</f>
        <v>381.58281250000005</v>
      </c>
      <c r="F143" s="19">
        <f t="shared" ref="F143:F146" si="123">L143*1.2</f>
        <v>15.49278</v>
      </c>
      <c r="G143" s="12">
        <f t="shared" ref="G143:G146" si="124">(L143)*1.15</f>
        <v>14.8472475</v>
      </c>
      <c r="H143" s="193">
        <f t="shared" ref="H143:H146" si="125">(L143)*1.1</f>
        <v>14.201715000000002</v>
      </c>
      <c r="I143" s="194">
        <f t="shared" ref="I143:I146" si="126">(L143)*1.03</f>
        <v>13.297969500000001</v>
      </c>
      <c r="J143" s="195">
        <f>N143*1.03</f>
        <v>12.576969500000002</v>
      </c>
      <c r="K143" s="66"/>
      <c r="L143" s="46">
        <f t="shared" si="77"/>
        <v>12.91065</v>
      </c>
      <c r="M143" s="77">
        <f>O143/1.2*1.03</f>
        <v>305.26625000000001</v>
      </c>
      <c r="N143" s="219">
        <f t="shared" si="78"/>
        <v>12.210650000000001</v>
      </c>
      <c r="O143" s="78">
        <v>355.65</v>
      </c>
    </row>
    <row r="144" spans="2:15" s="64" customFormat="1">
      <c r="B144" s="349" t="s">
        <v>543</v>
      </c>
      <c r="C144" s="187" t="s">
        <v>106</v>
      </c>
      <c r="D144" s="188"/>
      <c r="E144" s="192">
        <f t="shared" si="122"/>
        <v>141.35677083333334</v>
      </c>
      <c r="F144" s="19">
        <f t="shared" si="123"/>
        <v>6.2681000000000004</v>
      </c>
      <c r="G144" s="12">
        <f t="shared" si="124"/>
        <v>6.0069291666666667</v>
      </c>
      <c r="H144" s="193">
        <f t="shared" si="125"/>
        <v>5.7457583333333346</v>
      </c>
      <c r="I144" s="194">
        <f t="shared" si="126"/>
        <v>5.3801191666666668</v>
      </c>
      <c r="J144" s="195">
        <f>N144*1.03</f>
        <v>4.6591191666666667</v>
      </c>
      <c r="K144" s="66"/>
      <c r="L144" s="46">
        <f t="shared" si="77"/>
        <v>5.223416666666667</v>
      </c>
      <c r="M144" s="77">
        <f>O144/1.2*1.03</f>
        <v>113.08541666666667</v>
      </c>
      <c r="N144" s="219">
        <f t="shared" si="78"/>
        <v>4.5234166666666669</v>
      </c>
      <c r="O144" s="78">
        <v>131.75</v>
      </c>
    </row>
    <row r="145" spans="2:15" s="64" customFormat="1">
      <c r="B145" s="349" t="s">
        <v>544</v>
      </c>
      <c r="C145" s="187" t="s">
        <v>106</v>
      </c>
      <c r="D145" s="188"/>
      <c r="E145" s="192">
        <f t="shared" si="122"/>
        <v>153.19104166666668</v>
      </c>
      <c r="F145" s="19">
        <f t="shared" si="123"/>
        <v>6.7225359999999998</v>
      </c>
      <c r="G145" s="12">
        <f t="shared" si="124"/>
        <v>6.4424303333333333</v>
      </c>
      <c r="H145" s="193">
        <f t="shared" si="125"/>
        <v>6.1623246666666676</v>
      </c>
      <c r="I145" s="194">
        <f t="shared" si="126"/>
        <v>5.7701767333333338</v>
      </c>
      <c r="J145" s="195">
        <f>N145*1.03</f>
        <v>5.0491767333333337</v>
      </c>
      <c r="K145" s="66"/>
      <c r="L145" s="46">
        <f t="shared" si="77"/>
        <v>5.6021133333333335</v>
      </c>
      <c r="M145" s="77">
        <f>O145/1.2*1.03</f>
        <v>122.55283333333334</v>
      </c>
      <c r="N145" s="219">
        <f t="shared" si="78"/>
        <v>4.9021133333333333</v>
      </c>
      <c r="O145" s="78">
        <v>142.78</v>
      </c>
    </row>
    <row r="146" spans="2:15" s="64" customFormat="1" ht="15.75" thickBot="1">
      <c r="B146" s="350" t="s">
        <v>545</v>
      </c>
      <c r="C146" s="329" t="s">
        <v>106</v>
      </c>
      <c r="D146" s="330"/>
      <c r="E146" s="215">
        <f t="shared" si="122"/>
        <v>269.47375</v>
      </c>
      <c r="F146" s="20">
        <f t="shared" si="123"/>
        <v>11.187792</v>
      </c>
      <c r="G146" s="15">
        <f t="shared" si="124"/>
        <v>10.721633999999998</v>
      </c>
      <c r="H146" s="216">
        <f t="shared" si="125"/>
        <v>10.255476</v>
      </c>
      <c r="I146" s="217">
        <f t="shared" si="126"/>
        <v>9.6028547999999994</v>
      </c>
      <c r="J146" s="218">
        <f>N146*1.03</f>
        <v>8.881854800000001</v>
      </c>
      <c r="K146" s="66"/>
      <c r="L146" s="46">
        <f t="shared" si="77"/>
        <v>9.3231599999999997</v>
      </c>
      <c r="M146" s="77">
        <f>O146/1.2*1.03</f>
        <v>215.57900000000001</v>
      </c>
      <c r="N146" s="219">
        <f t="shared" si="78"/>
        <v>8.6231600000000004</v>
      </c>
      <c r="O146" s="78">
        <v>251.16</v>
      </c>
    </row>
    <row r="147" spans="2:15" ht="15.75" thickBot="1">
      <c r="B147" s="1677" t="s">
        <v>135</v>
      </c>
      <c r="C147" s="1678"/>
      <c r="D147" s="1678"/>
      <c r="E147" s="1678"/>
      <c r="F147" s="1670"/>
      <c r="G147" s="1670"/>
      <c r="H147" s="1670"/>
      <c r="I147" s="1670"/>
      <c r="J147" s="1679"/>
      <c r="L147" s="46">
        <f t="shared" si="77"/>
        <v>0.7</v>
      </c>
      <c r="M147" s="77">
        <f t="shared" ref="M147:M149" si="127">O147/1.2</f>
        <v>0</v>
      </c>
      <c r="N147" s="219"/>
      <c r="O147" s="78"/>
    </row>
    <row r="148" spans="2:15" s="64" customFormat="1">
      <c r="B148" s="348" t="s">
        <v>546</v>
      </c>
      <c r="C148" s="211" t="s">
        <v>90</v>
      </c>
      <c r="D148" s="212"/>
      <c r="E148" s="189">
        <f>M148*1.25</f>
        <v>377.40916666666664</v>
      </c>
      <c r="F148" s="60">
        <f>L148*1.2</f>
        <v>37.071279999999994</v>
      </c>
      <c r="G148" s="61">
        <f>(L148)*1.15</f>
        <v>35.526643333333325</v>
      </c>
      <c r="H148" s="98">
        <f>(L148)*1.1</f>
        <v>33.982006666666663</v>
      </c>
      <c r="I148" s="190">
        <f>(L148)*1.03</f>
        <v>31.819515333333328</v>
      </c>
      <c r="J148" s="99">
        <f>N148*1.03</f>
        <v>31.098515333333332</v>
      </c>
      <c r="K148" s="66"/>
      <c r="L148" s="46">
        <f t="shared" si="77"/>
        <v>30.892733333333329</v>
      </c>
      <c r="M148" s="77">
        <f>O148/1.2*1.03</f>
        <v>301.92733333333331</v>
      </c>
      <c r="N148" s="219">
        <f t="shared" si="78"/>
        <v>30.192733333333329</v>
      </c>
      <c r="O148" s="78">
        <v>351.76</v>
      </c>
    </row>
    <row r="149" spans="2:15" s="64" customFormat="1">
      <c r="B149" s="349" t="s">
        <v>547</v>
      </c>
      <c r="C149" s="187" t="s">
        <v>90</v>
      </c>
      <c r="D149" s="188"/>
      <c r="E149" s="192">
        <f t="shared" ref="E149:E152" si="128">M149*1.25</f>
        <v>321.125</v>
      </c>
      <c r="F149" s="19">
        <f t="shared" ref="F149:F152" si="129">L149*1.2</f>
        <v>31.667999999999996</v>
      </c>
      <c r="G149" s="12">
        <f t="shared" ref="G149:G152" si="130">(L149)*1.15</f>
        <v>30.348499999999994</v>
      </c>
      <c r="H149" s="193">
        <f t="shared" ref="H149:H152" si="131">(L149)*1.1</f>
        <v>29.029</v>
      </c>
      <c r="I149" s="194">
        <f t="shared" ref="I149:I152" si="132">(L149)*1.03</f>
        <v>27.181699999999999</v>
      </c>
      <c r="J149" s="195">
        <f>N149*1.03</f>
        <v>26.460699999999999</v>
      </c>
      <c r="K149" s="66"/>
      <c r="L149" s="46">
        <f t="shared" si="77"/>
        <v>26.389999999999997</v>
      </c>
      <c r="M149" s="77">
        <f t="shared" si="127"/>
        <v>256.89999999999998</v>
      </c>
      <c r="N149" s="219">
        <f t="shared" si="78"/>
        <v>25.689999999999998</v>
      </c>
      <c r="O149" s="78">
        <v>308.27999999999997</v>
      </c>
    </row>
    <row r="150" spans="2:15" s="64" customFormat="1">
      <c r="B150" s="349" t="s">
        <v>548</v>
      </c>
      <c r="C150" s="187" t="s">
        <v>90</v>
      </c>
      <c r="D150" s="188"/>
      <c r="E150" s="192">
        <f t="shared" si="128"/>
        <v>236.05239583333332</v>
      </c>
      <c r="F150" s="19">
        <f t="shared" si="129"/>
        <v>23.501029999999997</v>
      </c>
      <c r="G150" s="12">
        <f t="shared" si="130"/>
        <v>22.521820416666664</v>
      </c>
      <c r="H150" s="193">
        <f t="shared" si="131"/>
        <v>21.542610833333335</v>
      </c>
      <c r="I150" s="194">
        <f t="shared" si="132"/>
        <v>20.171717416666667</v>
      </c>
      <c r="J150" s="195">
        <f>N150*1.03</f>
        <v>19.450717416666667</v>
      </c>
      <c r="K150" s="66"/>
      <c r="L150" s="46">
        <f t="shared" si="77"/>
        <v>19.584191666666666</v>
      </c>
      <c r="M150" s="77">
        <f>O150/1.2*1.03</f>
        <v>188.84191666666666</v>
      </c>
      <c r="N150" s="219">
        <f t="shared" si="78"/>
        <v>18.884191666666666</v>
      </c>
      <c r="O150" s="78">
        <v>220.01</v>
      </c>
    </row>
    <row r="151" spans="2:15" s="64" customFormat="1">
      <c r="B151" s="349" t="s">
        <v>549</v>
      </c>
      <c r="C151" s="187" t="s">
        <v>121</v>
      </c>
      <c r="D151" s="188"/>
      <c r="E151" s="192">
        <f t="shared" si="128"/>
        <v>1121.0798958333335</v>
      </c>
      <c r="F151" s="19">
        <f t="shared" si="129"/>
        <v>54.651835000000013</v>
      </c>
      <c r="G151" s="12">
        <f t="shared" si="130"/>
        <v>52.374675208333343</v>
      </c>
      <c r="H151" s="193">
        <f t="shared" si="131"/>
        <v>50.097515416666681</v>
      </c>
      <c r="I151" s="194">
        <f t="shared" si="132"/>
        <v>46.909491708333341</v>
      </c>
      <c r="J151" s="195">
        <f>N151*1.03</f>
        <v>46.188491708333338</v>
      </c>
      <c r="K151" s="66"/>
      <c r="L151" s="46">
        <f t="shared" si="77"/>
        <v>45.543195833333343</v>
      </c>
      <c r="M151" s="77">
        <f>O151/1.2*1.03</f>
        <v>896.8639166666668</v>
      </c>
      <c r="N151" s="219">
        <f t="shared" si="78"/>
        <v>44.84319583333334</v>
      </c>
      <c r="O151" s="78">
        <v>1044.8900000000001</v>
      </c>
    </row>
    <row r="152" spans="2:15" s="64" customFormat="1" ht="15.75" thickBot="1">
      <c r="B152" s="350" t="s">
        <v>550</v>
      </c>
      <c r="C152" s="329" t="s">
        <v>123</v>
      </c>
      <c r="D152" s="330"/>
      <c r="E152" s="215">
        <f t="shared" si="128"/>
        <v>708.15718749999996</v>
      </c>
      <c r="F152" s="20">
        <f t="shared" si="129"/>
        <v>46.162060000000004</v>
      </c>
      <c r="G152" s="15">
        <f t="shared" si="130"/>
        <v>44.238640833333335</v>
      </c>
      <c r="H152" s="216">
        <f t="shared" si="131"/>
        <v>42.315221666666673</v>
      </c>
      <c r="I152" s="217">
        <f t="shared" si="132"/>
        <v>39.622434833333337</v>
      </c>
      <c r="J152" s="218">
        <f>N152*1.03</f>
        <v>38.901434833333333</v>
      </c>
      <c r="K152" s="66"/>
      <c r="L152" s="46">
        <f t="shared" si="77"/>
        <v>38.468383333333335</v>
      </c>
      <c r="M152" s="77">
        <f>O152/1.2*1.03</f>
        <v>566.52575000000002</v>
      </c>
      <c r="N152" s="219">
        <f t="shared" si="78"/>
        <v>37.768383333333333</v>
      </c>
      <c r="O152" s="78">
        <v>660.03</v>
      </c>
    </row>
    <row r="153" spans="2:15" ht="15.75" thickBot="1">
      <c r="B153" s="1677" t="s">
        <v>551</v>
      </c>
      <c r="C153" s="1678"/>
      <c r="D153" s="1678"/>
      <c r="E153" s="1678"/>
      <c r="F153" s="1670"/>
      <c r="G153" s="1670"/>
      <c r="H153" s="1670"/>
      <c r="I153" s="1670"/>
      <c r="J153" s="1679"/>
      <c r="M153" s="77"/>
      <c r="N153" s="219"/>
      <c r="O153" s="78"/>
    </row>
    <row r="154" spans="2:15" s="64" customFormat="1" ht="26.25" customHeight="1">
      <c r="B154" s="1691" t="s">
        <v>552</v>
      </c>
      <c r="C154" s="211" t="s">
        <v>74</v>
      </c>
      <c r="D154" s="212"/>
      <c r="E154" s="189">
        <f>M154*1.25</f>
        <v>58.495416666666671</v>
      </c>
      <c r="F154" s="60">
        <f>L154*1.2</f>
        <v>56.995600000000003</v>
      </c>
      <c r="G154" s="61">
        <f>(L154)*1.15</f>
        <v>54.620783333333335</v>
      </c>
      <c r="H154" s="98">
        <f>(L154)*1.1</f>
        <v>52.245966666666675</v>
      </c>
      <c r="I154" s="190">
        <f>(L154)*1.03</f>
        <v>48.921223333333344</v>
      </c>
      <c r="J154" s="99">
        <f t="shared" ref="J154:J160" si="133">N154*1.03</f>
        <v>48.200223333333341</v>
      </c>
      <c r="K154" s="66"/>
      <c r="L154" s="46">
        <f t="shared" si="77"/>
        <v>47.49633333333334</v>
      </c>
      <c r="M154" s="77">
        <f t="shared" ref="M154:M160" si="134">O154/1.2*1.03</f>
        <v>46.796333333333337</v>
      </c>
      <c r="N154" s="219">
        <f t="shared" si="78"/>
        <v>46.796333333333337</v>
      </c>
      <c r="O154" s="78">
        <v>54.52</v>
      </c>
    </row>
    <row r="155" spans="2:15" s="64" customFormat="1" ht="26.25" customHeight="1">
      <c r="B155" s="1690"/>
      <c r="C155" s="187" t="s">
        <v>75</v>
      </c>
      <c r="D155" s="188"/>
      <c r="E155" s="192">
        <f t="shared" ref="E155:E160" si="135">M155*1.25</f>
        <v>102.35625000000002</v>
      </c>
      <c r="F155" s="19">
        <f t="shared" ref="F155:F157" si="136">L155*1.2</f>
        <v>49.971000000000011</v>
      </c>
      <c r="G155" s="12">
        <f t="shared" ref="G155:G157" si="137">(L155)*1.15</f>
        <v>47.888875000000013</v>
      </c>
      <c r="H155" s="193">
        <f t="shared" ref="H155:H157" si="138">(L155)*1.1</f>
        <v>45.806750000000015</v>
      </c>
      <c r="I155" s="194">
        <f t="shared" ref="I155:I157" si="139">(L155)*1.03</f>
        <v>42.891775000000017</v>
      </c>
      <c r="J155" s="195">
        <f t="shared" si="133"/>
        <v>42.170775000000013</v>
      </c>
      <c r="K155" s="66"/>
      <c r="L155" s="46">
        <f t="shared" si="77"/>
        <v>41.642500000000013</v>
      </c>
      <c r="M155" s="219">
        <f t="shared" si="134"/>
        <v>81.885000000000019</v>
      </c>
      <c r="N155" s="219">
        <f t="shared" si="78"/>
        <v>40.94250000000001</v>
      </c>
      <c r="O155" s="78">
        <v>95.4</v>
      </c>
    </row>
    <row r="156" spans="2:15" s="64" customFormat="1">
      <c r="B156" s="1690" t="s">
        <v>553</v>
      </c>
      <c r="C156" s="187" t="s">
        <v>74</v>
      </c>
      <c r="D156" s="188"/>
      <c r="E156" s="192">
        <f t="shared" si="135"/>
        <v>74.503333333333345</v>
      </c>
      <c r="F156" s="19">
        <f t="shared" si="136"/>
        <v>72.363200000000006</v>
      </c>
      <c r="G156" s="12">
        <f t="shared" si="137"/>
        <v>69.348066666666668</v>
      </c>
      <c r="H156" s="193">
        <f t="shared" si="138"/>
        <v>66.332933333333344</v>
      </c>
      <c r="I156" s="194">
        <f t="shared" si="139"/>
        <v>62.111746666666676</v>
      </c>
      <c r="J156" s="195">
        <f t="shared" si="133"/>
        <v>61.390746666666672</v>
      </c>
      <c r="K156" s="66"/>
      <c r="L156" s="46">
        <f t="shared" ref="L156:L160" si="140">N156+0.7</f>
        <v>60.302666666666674</v>
      </c>
      <c r="M156" s="77">
        <f t="shared" si="134"/>
        <v>59.602666666666671</v>
      </c>
      <c r="N156" s="219">
        <f t="shared" si="78"/>
        <v>59.602666666666671</v>
      </c>
      <c r="O156" s="78">
        <v>69.44</v>
      </c>
    </row>
    <row r="157" spans="2:15" s="64" customFormat="1">
      <c r="B157" s="1690"/>
      <c r="C157" s="187" t="s">
        <v>75</v>
      </c>
      <c r="D157" s="188"/>
      <c r="E157" s="192">
        <f t="shared" si="135"/>
        <v>137.86979166666669</v>
      </c>
      <c r="F157" s="19">
        <f t="shared" si="136"/>
        <v>67.017500000000013</v>
      </c>
      <c r="G157" s="12">
        <f t="shared" si="137"/>
        <v>64.225104166666668</v>
      </c>
      <c r="H157" s="193">
        <f t="shared" si="138"/>
        <v>61.432708333333352</v>
      </c>
      <c r="I157" s="194">
        <f t="shared" si="139"/>
        <v>57.523354166666678</v>
      </c>
      <c r="J157" s="195">
        <f t="shared" si="133"/>
        <v>56.802354166666674</v>
      </c>
      <c r="K157" s="66"/>
      <c r="L157" s="46">
        <f t="shared" si="140"/>
        <v>55.847916666666677</v>
      </c>
      <c r="M157" s="77">
        <f t="shared" si="134"/>
        <v>110.29583333333335</v>
      </c>
      <c r="N157" s="219">
        <f t="shared" ref="N157:N160" si="141">M157/C157</f>
        <v>55.147916666666674</v>
      </c>
      <c r="O157" s="78">
        <v>128.5</v>
      </c>
    </row>
    <row r="158" spans="2:15" s="64" customFormat="1">
      <c r="B158" s="1690" t="s">
        <v>554</v>
      </c>
      <c r="C158" s="187" t="s">
        <v>74</v>
      </c>
      <c r="D158" s="188"/>
      <c r="E158" s="192">
        <f t="shared" si="135"/>
        <v>94.008958333333354</v>
      </c>
      <c r="F158" s="19">
        <f t="shared" ref="F158:F160" si="142">L158*1.2</f>
        <v>91.088600000000014</v>
      </c>
      <c r="G158" s="12">
        <f t="shared" ref="G158:G160" si="143">(L158)*1.15</f>
        <v>87.293241666666674</v>
      </c>
      <c r="H158" s="193">
        <f t="shared" ref="H158:H160" si="144">(L158)*1.1</f>
        <v>83.497883333333363</v>
      </c>
      <c r="I158" s="194">
        <f t="shared" ref="I158:I160" si="145">(L158)*1.03</f>
        <v>78.184381666666681</v>
      </c>
      <c r="J158" s="195">
        <f t="shared" si="133"/>
        <v>77.463381666666677</v>
      </c>
      <c r="K158" s="66"/>
      <c r="L158" s="46">
        <f t="shared" si="140"/>
        <v>75.907166666666683</v>
      </c>
      <c r="M158" s="77">
        <f t="shared" si="134"/>
        <v>75.20716666666668</v>
      </c>
      <c r="N158" s="219">
        <f t="shared" si="141"/>
        <v>75.20716666666668</v>
      </c>
      <c r="O158" s="78">
        <v>87.62</v>
      </c>
    </row>
    <row r="159" spans="2:15" s="64" customFormat="1">
      <c r="B159" s="1690"/>
      <c r="C159" s="187" t="s">
        <v>75</v>
      </c>
      <c r="D159" s="188"/>
      <c r="E159" s="192">
        <f t="shared" si="135"/>
        <v>174.77812499999999</v>
      </c>
      <c r="F159" s="19">
        <f t="shared" si="142"/>
        <v>84.733499999999992</v>
      </c>
      <c r="G159" s="12">
        <f t="shared" si="143"/>
        <v>81.20293749999999</v>
      </c>
      <c r="H159" s="193">
        <f t="shared" si="144"/>
        <v>77.672375000000002</v>
      </c>
      <c r="I159" s="194">
        <f t="shared" si="145"/>
        <v>72.729587499999994</v>
      </c>
      <c r="J159" s="195">
        <f t="shared" si="133"/>
        <v>72.00858749999999</v>
      </c>
      <c r="K159" s="66"/>
      <c r="L159" s="46">
        <f t="shared" si="140"/>
        <v>70.611249999999998</v>
      </c>
      <c r="M159" s="77">
        <f t="shared" si="134"/>
        <v>139.82249999999999</v>
      </c>
      <c r="N159" s="219">
        <f t="shared" si="141"/>
        <v>69.911249999999995</v>
      </c>
      <c r="O159" s="78">
        <v>162.9</v>
      </c>
    </row>
    <row r="160" spans="2:15" s="64" customFormat="1" ht="15.75" thickBot="1">
      <c r="B160" s="350" t="s">
        <v>555</v>
      </c>
      <c r="C160" s="329" t="s">
        <v>559</v>
      </c>
      <c r="D160" s="330"/>
      <c r="E160" s="215">
        <f t="shared" si="135"/>
        <v>87.732395833333342</v>
      </c>
      <c r="F160" s="20">
        <f t="shared" si="142"/>
        <v>169.28619999999998</v>
      </c>
      <c r="G160" s="15">
        <f t="shared" si="143"/>
        <v>162.23260833333333</v>
      </c>
      <c r="H160" s="216">
        <f t="shared" si="144"/>
        <v>155.17901666666668</v>
      </c>
      <c r="I160" s="217">
        <f t="shared" si="145"/>
        <v>145.30398833333334</v>
      </c>
      <c r="J160" s="218">
        <f t="shared" si="133"/>
        <v>144.58298833333333</v>
      </c>
      <c r="K160" s="66"/>
      <c r="L160" s="46">
        <f t="shared" si="140"/>
        <v>141.07183333333333</v>
      </c>
      <c r="M160" s="77">
        <f t="shared" si="134"/>
        <v>70.185916666666671</v>
      </c>
      <c r="N160" s="219">
        <f t="shared" si="141"/>
        <v>140.37183333333334</v>
      </c>
      <c r="O160" s="78">
        <v>81.77</v>
      </c>
    </row>
    <row r="161" spans="2:14" s="89" customFormat="1" ht="15" customHeight="1">
      <c r="B161" s="82"/>
      <c r="C161" s="83"/>
      <c r="D161" s="83"/>
      <c r="E161" s="84"/>
      <c r="F161" s="84"/>
      <c r="G161" s="84"/>
      <c r="H161" s="84"/>
      <c r="I161" s="84"/>
      <c r="J161" s="84"/>
      <c r="K161" s="85"/>
      <c r="L161" s="86"/>
      <c r="M161" s="87"/>
      <c r="N161" s="88"/>
    </row>
    <row r="162" spans="2:14" s="89" customFormat="1" ht="15.75" customHeight="1">
      <c r="B162" s="82"/>
      <c r="C162" s="83"/>
      <c r="D162" s="83"/>
      <c r="E162" s="84"/>
      <c r="F162" s="84"/>
      <c r="G162" s="84"/>
      <c r="H162" s="84"/>
      <c r="I162" s="84"/>
      <c r="J162" s="84"/>
      <c r="K162" s="85"/>
      <c r="L162" s="86"/>
      <c r="M162" s="87"/>
      <c r="N162" s="88"/>
    </row>
    <row r="163" spans="2:14" s="89" customFormat="1">
      <c r="B163" s="82"/>
      <c r="C163" s="83"/>
      <c r="D163" s="83"/>
      <c r="E163" s="84"/>
      <c r="F163" s="84"/>
      <c r="G163" s="84"/>
      <c r="H163" s="84"/>
      <c r="I163" s="84"/>
      <c r="J163" s="84"/>
      <c r="K163" s="85"/>
      <c r="L163" s="86"/>
      <c r="M163" s="87"/>
      <c r="N163" s="88"/>
    </row>
    <row r="164" spans="2:14" s="89" customFormat="1" ht="18.75" customHeight="1">
      <c r="B164" s="82"/>
      <c r="C164" s="83"/>
      <c r="D164" s="83"/>
      <c r="E164" s="84"/>
      <c r="F164" s="84"/>
      <c r="G164" s="84"/>
      <c r="H164" s="84"/>
      <c r="I164" s="84"/>
      <c r="J164" s="84"/>
      <c r="K164" s="85"/>
      <c r="L164" s="86"/>
      <c r="M164" s="87"/>
      <c r="N164" s="88"/>
    </row>
    <row r="165" spans="2:14" s="89" customFormat="1" ht="24" customHeight="1">
      <c r="B165" s="82"/>
      <c r="C165" s="83"/>
      <c r="D165" s="83"/>
      <c r="E165" s="84"/>
      <c r="F165" s="84"/>
      <c r="G165" s="84"/>
      <c r="H165" s="84"/>
      <c r="I165" s="84"/>
      <c r="J165" s="84"/>
      <c r="K165" s="85"/>
      <c r="L165" s="86"/>
      <c r="M165" s="87"/>
      <c r="N165" s="88"/>
    </row>
    <row r="166" spans="2:14" s="89" customFormat="1">
      <c r="B166" s="82"/>
      <c r="C166" s="83"/>
      <c r="D166" s="83"/>
      <c r="E166" s="84"/>
      <c r="F166" s="84"/>
      <c r="G166" s="84"/>
      <c r="H166" s="84"/>
      <c r="I166" s="84"/>
      <c r="J166" s="84"/>
      <c r="K166" s="85"/>
      <c r="L166" s="86"/>
      <c r="M166" s="87"/>
      <c r="N166" s="88"/>
    </row>
    <row r="167" spans="2:14" s="89" customFormat="1" ht="15" customHeight="1">
      <c r="B167" s="82"/>
      <c r="C167" s="83"/>
      <c r="D167" s="83"/>
      <c r="E167" s="84"/>
      <c r="F167" s="84"/>
      <c r="G167" s="84"/>
      <c r="H167" s="84"/>
      <c r="I167" s="84"/>
      <c r="J167" s="84"/>
      <c r="K167" s="85"/>
      <c r="L167" s="86"/>
      <c r="M167" s="87"/>
      <c r="N167" s="88"/>
    </row>
    <row r="168" spans="2:14" s="89" customFormat="1" ht="15.75" customHeight="1">
      <c r="B168" s="82"/>
      <c r="C168" s="83"/>
      <c r="D168" s="83"/>
      <c r="E168" s="84"/>
      <c r="F168" s="84"/>
      <c r="G168" s="84"/>
      <c r="H168" s="84"/>
      <c r="I168" s="84"/>
      <c r="J168" s="84"/>
      <c r="K168" s="85"/>
      <c r="L168" s="86"/>
      <c r="M168" s="87"/>
      <c r="N168" s="88"/>
    </row>
    <row r="169" spans="2:14" s="89" customFormat="1">
      <c r="B169" s="82"/>
      <c r="C169" s="83"/>
      <c r="D169" s="83"/>
      <c r="E169" s="84"/>
      <c r="F169" s="84"/>
      <c r="G169" s="84"/>
      <c r="H169" s="84"/>
      <c r="I169" s="84"/>
      <c r="J169" s="84"/>
      <c r="K169" s="85"/>
      <c r="L169" s="86"/>
      <c r="M169" s="87"/>
      <c r="N169" s="88"/>
    </row>
    <row r="170" spans="2:14" s="89" customFormat="1" ht="15.75" customHeight="1">
      <c r="B170" s="82"/>
      <c r="C170" s="83"/>
      <c r="D170" s="83"/>
      <c r="E170" s="84"/>
      <c r="F170" s="84"/>
      <c r="G170" s="84"/>
      <c r="H170" s="84"/>
      <c r="I170" s="84"/>
      <c r="J170" s="84"/>
      <c r="K170" s="85"/>
      <c r="L170" s="86"/>
      <c r="M170" s="87"/>
      <c r="N170" s="88"/>
    </row>
    <row r="171" spans="2:14" s="89" customFormat="1">
      <c r="B171" s="82"/>
      <c r="C171" s="83"/>
      <c r="D171" s="83"/>
      <c r="E171" s="84"/>
      <c r="F171" s="84"/>
      <c r="G171" s="84"/>
      <c r="H171" s="84"/>
      <c r="I171" s="84"/>
      <c r="J171" s="84"/>
      <c r="K171" s="85"/>
      <c r="L171" s="86"/>
      <c r="M171" s="87"/>
      <c r="N171" s="88"/>
    </row>
    <row r="172" spans="2:14" s="89" customFormat="1" ht="15.75" customHeight="1">
      <c r="B172" s="82"/>
      <c r="C172" s="83"/>
      <c r="D172" s="83"/>
      <c r="E172" s="84"/>
      <c r="F172" s="84"/>
      <c r="G172" s="84"/>
      <c r="H172" s="84"/>
      <c r="I172" s="84"/>
      <c r="J172" s="84"/>
      <c r="K172" s="85"/>
      <c r="L172" s="86"/>
      <c r="M172" s="87"/>
      <c r="N172" s="88"/>
    </row>
    <row r="173" spans="2:14" s="89" customFormat="1">
      <c r="B173" s="82"/>
      <c r="C173" s="83"/>
      <c r="D173" s="83"/>
      <c r="E173" s="84"/>
      <c r="F173" s="84"/>
      <c r="G173" s="84"/>
      <c r="H173" s="84"/>
      <c r="I173" s="84"/>
      <c r="J173" s="84"/>
      <c r="K173" s="85"/>
      <c r="L173" s="86"/>
      <c r="M173" s="87"/>
      <c r="N173" s="88"/>
    </row>
    <row r="174" spans="2:14" s="89" customFormat="1">
      <c r="B174" s="82"/>
      <c r="C174" s="83"/>
      <c r="D174" s="83"/>
      <c r="E174" s="84"/>
      <c r="F174" s="84"/>
      <c r="G174" s="84"/>
      <c r="H174" s="84"/>
      <c r="I174" s="84"/>
      <c r="J174" s="84"/>
      <c r="K174" s="85"/>
      <c r="L174" s="86"/>
      <c r="M174" s="87"/>
      <c r="N174" s="88"/>
    </row>
    <row r="175" spans="2:14" s="89" customFormat="1">
      <c r="B175" s="82"/>
      <c r="C175" s="83"/>
      <c r="D175" s="83"/>
      <c r="E175" s="84"/>
      <c r="F175" s="84"/>
      <c r="G175" s="84"/>
      <c r="H175" s="84"/>
      <c r="I175" s="84"/>
      <c r="J175" s="84"/>
      <c r="K175" s="85"/>
      <c r="L175" s="86"/>
      <c r="M175" s="87"/>
      <c r="N175" s="88"/>
    </row>
    <row r="176" spans="2:14" s="89" customFormat="1">
      <c r="B176" s="82"/>
      <c r="C176" s="83"/>
      <c r="D176" s="83"/>
      <c r="E176" s="84"/>
      <c r="F176" s="84"/>
      <c r="G176" s="84"/>
      <c r="H176" s="84"/>
      <c r="I176" s="84"/>
      <c r="J176" s="84"/>
      <c r="K176" s="85"/>
      <c r="L176" s="86"/>
      <c r="M176" s="87"/>
      <c r="N176" s="88"/>
    </row>
    <row r="177" spans="2:14" s="89" customFormat="1">
      <c r="B177" s="82"/>
      <c r="C177" s="83"/>
      <c r="D177" s="83"/>
      <c r="E177" s="84"/>
      <c r="F177" s="84"/>
      <c r="G177" s="84"/>
      <c r="H177" s="84"/>
      <c r="I177" s="84"/>
      <c r="J177" s="84"/>
      <c r="K177" s="85"/>
      <c r="L177" s="86"/>
      <c r="M177" s="87"/>
      <c r="N177" s="88"/>
    </row>
    <row r="178" spans="2:14" s="89" customFormat="1">
      <c r="B178" s="82"/>
      <c r="C178" s="83"/>
      <c r="D178" s="83"/>
      <c r="E178" s="84"/>
      <c r="F178" s="84"/>
      <c r="G178" s="84"/>
      <c r="H178" s="84"/>
      <c r="I178" s="84"/>
      <c r="J178" s="84"/>
      <c r="K178" s="85"/>
      <c r="L178" s="86"/>
      <c r="M178" s="87"/>
      <c r="N178" s="88"/>
    </row>
    <row r="179" spans="2:14" s="89" customFormat="1">
      <c r="B179" s="82"/>
      <c r="C179" s="83"/>
      <c r="D179" s="83"/>
      <c r="E179" s="84"/>
      <c r="F179" s="84"/>
      <c r="G179" s="84"/>
      <c r="H179" s="84"/>
      <c r="I179" s="84"/>
      <c r="J179" s="84"/>
      <c r="K179" s="85"/>
      <c r="L179" s="86"/>
      <c r="M179" s="87"/>
      <c r="N179" s="88"/>
    </row>
    <row r="180" spans="2:14" s="89" customFormat="1">
      <c r="B180" s="82"/>
      <c r="C180" s="83"/>
      <c r="D180" s="83"/>
      <c r="E180" s="84"/>
      <c r="F180" s="84"/>
      <c r="G180" s="84"/>
      <c r="H180" s="84"/>
      <c r="I180" s="84"/>
      <c r="J180" s="84"/>
      <c r="K180" s="85"/>
      <c r="L180" s="86"/>
      <c r="M180" s="87"/>
      <c r="N180" s="88"/>
    </row>
    <row r="181" spans="2:14" s="89" customFormat="1">
      <c r="B181" s="82"/>
      <c r="C181" s="83"/>
      <c r="D181" s="83"/>
      <c r="E181" s="84"/>
      <c r="F181" s="84"/>
      <c r="G181" s="84"/>
      <c r="H181" s="84"/>
      <c r="I181" s="84"/>
      <c r="J181" s="84"/>
      <c r="K181" s="85"/>
      <c r="L181" s="86"/>
      <c r="M181" s="87"/>
      <c r="N181" s="88"/>
    </row>
  </sheetData>
  <customSheetViews>
    <customSheetView guid="{FBB3E572-A647-4B8C-96C7-F43FE4F7CAA8}" showPageBreaks="1" printArea="1" hiddenColumns="1" view="pageBreakPreview">
      <pane ySplit="5" topLeftCell="A42" activePane="bottomLeft" state="frozen"/>
      <selection pane="bottomLeft" activeCell="B3" sqref="B3:B5"/>
      <rowBreaks count="1" manualBreakCount="1">
        <brk id="67" max="15" man="1"/>
      </rowBreaks>
      <colBreaks count="1" manualBreakCount="1">
        <brk id="9" max="159" man="1"/>
      </colBreaks>
      <pageMargins left="0.55118110236220474" right="0.27559055118110237" top="0.39370078740157483" bottom="0.23622047244094491" header="0.31496062992125984" footer="0.19685039370078741"/>
      <pageSetup paperSize="9" scale="85" fitToHeight="3" orientation="portrait" verticalDpi="0" r:id="rId1"/>
    </customSheetView>
    <customSheetView guid="{900EF7B2-0D63-4DE2-9CFC-2D2B3788802C}" showPageBreaks="1" printArea="1" hiddenColumns="1" view="pageBreakPreview">
      <pane ySplit="5" topLeftCell="A6" activePane="bottomLeft" state="frozen"/>
      <selection pane="bottomLeft" activeCell="B33" sqref="B33:J33"/>
      <colBreaks count="1" manualBreakCount="1">
        <brk id="9" max="159" man="1"/>
      </colBreaks>
      <pageMargins left="0.55118110236220474" right="0.27559055118110237" top="0.39370078740157483" bottom="0.23622047244094491" header="0.31496062992125984" footer="0.19685039370078741"/>
      <pageSetup paperSize="9" scale="26" fitToHeight="3" orientation="portrait" verticalDpi="0" r:id="rId2"/>
    </customSheetView>
    <customSheetView guid="{CC6D6007-EFDE-464F-BD7C-A67043AC5D5C}" showPageBreaks="1" printArea="1" hiddenColumns="1" view="pageBreakPreview">
      <pane ySplit="5" topLeftCell="A6" activePane="bottomLeft" state="frozen"/>
      <selection pane="bottomLeft" activeCell="R17" sqref="R17"/>
      <rowBreaks count="1" manualBreakCount="1">
        <brk id="67" max="15" man="1"/>
      </rowBreaks>
      <colBreaks count="1" manualBreakCount="1">
        <brk id="9" max="159" man="1"/>
      </colBreaks>
      <pageMargins left="0.56999999999999995" right="0.27559055118110237" top="0.39370078740157483" bottom="0.23622047244094491" header="0.31496062992125984" footer="0.19685039370078741"/>
      <pageSetup paperSize="9" scale="68" fitToHeight="3" orientation="portrait" verticalDpi="0" r:id="rId3"/>
    </customSheetView>
    <customSheetView guid="{C0FE86CC-5BB4-4265-957F-F51B909B3E81}" showPageBreaks="1" printArea="1" hiddenColumns="1" view="pageBreakPreview">
      <pane ySplit="5" topLeftCell="A117" activePane="bottomLeft" state="frozen"/>
      <selection pane="bottomLeft" activeCell="B87" sqref="B87:B89"/>
      <rowBreaks count="1" manualBreakCount="1">
        <brk id="67" max="15" man="1"/>
      </rowBreaks>
      <colBreaks count="1" manualBreakCount="1">
        <brk id="9" max="159" man="1"/>
      </colBreaks>
      <pageMargins left="0.56999999999999995" right="0.27559055118110237" top="0.39370078740157483" bottom="0.23622047244094491" header="0.31496062992125984" footer="0.19685039370078741"/>
      <pageSetup paperSize="9" scale="68" fitToHeight="3" orientation="portrait" verticalDpi="0" r:id="rId4"/>
    </customSheetView>
  </customSheetViews>
  <mergeCells count="62">
    <mergeCell ref="O87:O89"/>
    <mergeCell ref="B40:J40"/>
    <mergeCell ref="B28:J28"/>
    <mergeCell ref="B33:J33"/>
    <mergeCell ref="N3:N5"/>
    <mergeCell ref="B6:J6"/>
    <mergeCell ref="M3:M5"/>
    <mergeCell ref="B3:B5"/>
    <mergeCell ref="D3:D5"/>
    <mergeCell ref="C3:C5"/>
    <mergeCell ref="L3:L5"/>
    <mergeCell ref="F3:J3"/>
    <mergeCell ref="F4:I4"/>
    <mergeCell ref="E3:E5"/>
    <mergeCell ref="L43:L45"/>
    <mergeCell ref="M43:M45"/>
    <mergeCell ref="N43:N45"/>
    <mergeCell ref="F44:I44"/>
    <mergeCell ref="B46:J46"/>
    <mergeCell ref="B43:B45"/>
    <mergeCell ref="C43:C45"/>
    <mergeCell ref="D43:D45"/>
    <mergeCell ref="E43:E45"/>
    <mergeCell ref="F43:J43"/>
    <mergeCell ref="B76:J76"/>
    <mergeCell ref="B79:J79"/>
    <mergeCell ref="B82:J82"/>
    <mergeCell ref="B50:J50"/>
    <mergeCell ref="B55:J55"/>
    <mergeCell ref="B63:J63"/>
    <mergeCell ref="L68:L70"/>
    <mergeCell ref="N68:N70"/>
    <mergeCell ref="M68:M70"/>
    <mergeCell ref="F69:I69"/>
    <mergeCell ref="B71:J71"/>
    <mergeCell ref="B68:B70"/>
    <mergeCell ref="C68:C70"/>
    <mergeCell ref="D68:D70"/>
    <mergeCell ref="E68:E70"/>
    <mergeCell ref="F68:J68"/>
    <mergeCell ref="L87:L89"/>
    <mergeCell ref="M87:M89"/>
    <mergeCell ref="N87:N89"/>
    <mergeCell ref="F88:I88"/>
    <mergeCell ref="B90:J90"/>
    <mergeCell ref="B87:B89"/>
    <mergeCell ref="C87:C89"/>
    <mergeCell ref="D87:D89"/>
    <mergeCell ref="E87:E89"/>
    <mergeCell ref="F87:J87"/>
    <mergeCell ref="B118:J118"/>
    <mergeCell ref="B121:J121"/>
    <mergeCell ref="B133:J133"/>
    <mergeCell ref="B107:J107"/>
    <mergeCell ref="B110:J110"/>
    <mergeCell ref="B156:B157"/>
    <mergeCell ref="B158:B159"/>
    <mergeCell ref="B154:B155"/>
    <mergeCell ref="B135:J135"/>
    <mergeCell ref="B141:J141"/>
    <mergeCell ref="B147:J147"/>
    <mergeCell ref="B153:J153"/>
  </mergeCells>
  <pageMargins left="0.55118110236220474" right="0.27559055118110237" top="0.39370078740157483" bottom="0.23622047244094491" header="0.31496062992125984" footer="0.19685039370078741"/>
  <pageSetup paperSize="9" scale="85" fitToHeight="3" orientation="portrait" verticalDpi="0" r:id="rId5"/>
  <rowBreaks count="1" manualBreakCount="1">
    <brk id="67" max="15" man="1"/>
  </rowBreaks>
  <colBreaks count="1" manualBreakCount="1">
    <brk id="9" max="159" man="1"/>
  </colBreaks>
  <ignoredErrors>
    <ignoredError sqref="E17 E36 N36 N17" formula="1"/>
  </ignoredErrors>
  <legacyDrawing r:id="rId6"/>
</worksheet>
</file>

<file path=xl/worksheets/sheet18.xml><?xml version="1.0" encoding="utf-8"?>
<worksheet xmlns="http://schemas.openxmlformats.org/spreadsheetml/2006/main" xmlns:r="http://schemas.openxmlformats.org/officeDocument/2006/relationships">
  <sheetPr>
    <tabColor rgb="FF00B050"/>
    <pageSetUpPr fitToPage="1"/>
  </sheetPr>
  <dimension ref="B1:M683"/>
  <sheetViews>
    <sheetView view="pageBreakPreview" zoomScaleSheetLayoutView="100" workbookViewId="0">
      <pane ySplit="4" topLeftCell="A5" activePane="bottomLeft" state="frozen"/>
      <selection pane="bottomLeft" activeCell="J43" sqref="J43"/>
    </sheetView>
  </sheetViews>
  <sheetFormatPr defaultRowHeight="15"/>
  <cols>
    <col min="1" max="1" width="0.42578125" style="1" customWidth="1"/>
    <col min="2" max="2" width="80.85546875" style="49" customWidth="1"/>
    <col min="3" max="3" width="8.7109375" style="41" bestFit="1" customWidth="1"/>
    <col min="4" max="4" width="8.7109375" style="2" bestFit="1" customWidth="1"/>
    <col min="5" max="5" width="8.85546875" style="2" bestFit="1" customWidth="1"/>
    <col min="6" max="6" width="10" style="2" bestFit="1" customWidth="1"/>
    <col min="7" max="7" width="11.140625" style="81" bestFit="1" customWidth="1"/>
    <col min="8" max="8" width="18.42578125" style="81" customWidth="1"/>
    <col min="9" max="9" width="3.140625" style="65" hidden="1" customWidth="1"/>
    <col min="10" max="10" width="10" style="46" hidden="1" customWidth="1"/>
    <col min="11" max="11" width="11.7109375" style="76" hidden="1" customWidth="1"/>
    <col min="12" max="12" width="7.85546875" style="1" hidden="1" customWidth="1"/>
    <col min="13" max="13" width="9.140625" style="1" hidden="1" customWidth="1"/>
    <col min="14" max="16384" width="9.140625" style="1"/>
  </cols>
  <sheetData>
    <row r="1" spans="2:11" ht="0.75" customHeight="1">
      <c r="B1" s="82"/>
      <c r="C1" s="149"/>
      <c r="D1" s="84"/>
      <c r="E1" s="84"/>
      <c r="F1" s="84"/>
      <c r="G1" s="84"/>
      <c r="H1" s="84"/>
    </row>
    <row r="2" spans="2:11" ht="15.75" thickBot="1">
      <c r="B2" s="82" t="s">
        <v>877</v>
      </c>
      <c r="C2" s="149"/>
      <c r="D2" s="84"/>
      <c r="E2" s="84"/>
      <c r="F2" s="84"/>
      <c r="G2" s="84"/>
      <c r="H2" s="84"/>
    </row>
    <row r="3" spans="2:11" s="40" customFormat="1" ht="18" customHeight="1" thickBot="1">
      <c r="B3" s="1655" t="s">
        <v>573</v>
      </c>
      <c r="C3" s="1648" t="s">
        <v>608</v>
      </c>
      <c r="D3" s="1671" t="s">
        <v>198</v>
      </c>
      <c r="E3" s="1663"/>
      <c r="F3" s="1663"/>
      <c r="G3" s="1663"/>
      <c r="H3" s="1672"/>
      <c r="I3" s="70"/>
      <c r="J3" s="1664" t="s">
        <v>196</v>
      </c>
      <c r="K3" s="1658" t="s">
        <v>620</v>
      </c>
    </row>
    <row r="4" spans="2:11" s="40" customFormat="1" ht="18" thickBot="1">
      <c r="B4" s="1657"/>
      <c r="C4" s="1650"/>
      <c r="D4" s="156" t="s">
        <v>574</v>
      </c>
      <c r="E4" s="157" t="s">
        <v>154</v>
      </c>
      <c r="F4" s="158" t="s">
        <v>156</v>
      </c>
      <c r="G4" s="158" t="s">
        <v>195</v>
      </c>
      <c r="H4" s="159" t="s">
        <v>157</v>
      </c>
      <c r="I4" s="70"/>
      <c r="J4" s="1664"/>
      <c r="K4" s="1658"/>
    </row>
    <row r="5" spans="2:11" s="64" customFormat="1" ht="15.75" customHeight="1" thickBot="1">
      <c r="B5" s="153" t="s">
        <v>587</v>
      </c>
      <c r="C5" s="151"/>
      <c r="D5" s="151"/>
      <c r="E5" s="151"/>
      <c r="F5" s="151"/>
      <c r="G5" s="151"/>
      <c r="H5" s="152"/>
      <c r="I5" s="66"/>
      <c r="J5" s="69"/>
      <c r="K5" s="77"/>
    </row>
    <row r="6" spans="2:11" s="64" customFormat="1" ht="16.5" customHeight="1">
      <c r="B6" s="115" t="s">
        <v>590</v>
      </c>
      <c r="C6" s="220">
        <v>3</v>
      </c>
      <c r="D6" s="165">
        <f t="shared" ref="D6:D10" si="0">J6*1.25</f>
        <v>325.46062499999999</v>
      </c>
      <c r="E6" s="175">
        <f t="shared" ref="E6:E10" si="1">J6*1.2</f>
        <v>312.44219999999996</v>
      </c>
      <c r="F6" s="160">
        <f t="shared" ref="F6:F10" si="2">J6*1.15</f>
        <v>299.42377499999998</v>
      </c>
      <c r="G6" s="176">
        <f t="shared" ref="G6:G10" si="3">J6*1.1</f>
        <v>286.40535</v>
      </c>
      <c r="H6" s="167">
        <f t="shared" ref="H6:H10" si="4">J6*1.05</f>
        <v>273.38692500000002</v>
      </c>
      <c r="I6" s="66"/>
      <c r="J6" s="69">
        <f t="shared" ref="J6:J10" si="5">K6*1.05</f>
        <v>260.36849999999998</v>
      </c>
      <c r="K6" s="77">
        <v>247.97</v>
      </c>
    </row>
    <row r="7" spans="2:11" s="64" customFormat="1">
      <c r="B7" s="116" t="s">
        <v>591</v>
      </c>
      <c r="C7" s="146">
        <v>3</v>
      </c>
      <c r="D7" s="166">
        <f t="shared" si="0"/>
        <v>335.22562499999998</v>
      </c>
      <c r="E7" s="170">
        <f t="shared" si="1"/>
        <v>321.81659999999999</v>
      </c>
      <c r="F7" s="161">
        <f t="shared" si="2"/>
        <v>308.40757499999995</v>
      </c>
      <c r="G7" s="171">
        <f t="shared" si="3"/>
        <v>294.99855000000002</v>
      </c>
      <c r="H7" s="168">
        <f t="shared" si="4"/>
        <v>281.58952499999998</v>
      </c>
      <c r="I7" s="66"/>
      <c r="J7" s="69">
        <f t="shared" si="5"/>
        <v>268.18049999999999</v>
      </c>
      <c r="K7" s="77">
        <v>255.41</v>
      </c>
    </row>
    <row r="8" spans="2:11" s="64" customFormat="1">
      <c r="B8" s="116" t="s">
        <v>592</v>
      </c>
      <c r="C8" s="146">
        <v>3.1</v>
      </c>
      <c r="D8" s="166">
        <f t="shared" ref="D8" si="6">J8*1.25</f>
        <v>374.28562500000004</v>
      </c>
      <c r="E8" s="170">
        <f t="shared" ref="E8" si="7">J8*1.2</f>
        <v>359.31420000000003</v>
      </c>
      <c r="F8" s="161">
        <f t="shared" ref="F8" si="8">J8*1.15</f>
        <v>344.34277500000002</v>
      </c>
      <c r="G8" s="171">
        <f t="shared" ref="G8" si="9">J8*1.1</f>
        <v>329.37135000000006</v>
      </c>
      <c r="H8" s="168">
        <f t="shared" ref="H8" si="10">J8*1.05</f>
        <v>314.39992500000005</v>
      </c>
      <c r="I8" s="66"/>
      <c r="J8" s="69">
        <f t="shared" ref="J8" si="11">K8*1.05</f>
        <v>299.42850000000004</v>
      </c>
      <c r="K8" s="77">
        <v>285.17</v>
      </c>
    </row>
    <row r="9" spans="2:11" s="64" customFormat="1">
      <c r="B9" s="116" t="s">
        <v>593</v>
      </c>
      <c r="C9" s="146">
        <v>3.1</v>
      </c>
      <c r="D9" s="166">
        <f t="shared" si="0"/>
        <v>406.83562500000005</v>
      </c>
      <c r="E9" s="170">
        <f t="shared" si="1"/>
        <v>390.56220000000008</v>
      </c>
      <c r="F9" s="161">
        <f t="shared" si="2"/>
        <v>374.28877500000004</v>
      </c>
      <c r="G9" s="171">
        <f t="shared" si="3"/>
        <v>358.01535000000013</v>
      </c>
      <c r="H9" s="168">
        <f t="shared" si="4"/>
        <v>341.74192500000009</v>
      </c>
      <c r="I9" s="66"/>
      <c r="J9" s="69">
        <f t="shared" si="5"/>
        <v>325.46850000000006</v>
      </c>
      <c r="K9" s="77">
        <v>309.97000000000003</v>
      </c>
    </row>
    <row r="10" spans="2:11" s="64" customFormat="1" ht="15" customHeight="1" thickBot="1">
      <c r="B10" s="120" t="s">
        <v>589</v>
      </c>
      <c r="C10" s="147">
        <v>11</v>
      </c>
      <c r="D10" s="221">
        <f t="shared" si="0"/>
        <v>224.424375</v>
      </c>
      <c r="E10" s="222">
        <f t="shared" si="1"/>
        <v>215.44739999999999</v>
      </c>
      <c r="F10" s="223">
        <f t="shared" si="2"/>
        <v>206.47042499999998</v>
      </c>
      <c r="G10" s="224">
        <f t="shared" si="3"/>
        <v>197.49345000000002</v>
      </c>
      <c r="H10" s="225">
        <f t="shared" si="4"/>
        <v>188.51647500000001</v>
      </c>
      <c r="I10" s="66"/>
      <c r="J10" s="69">
        <f t="shared" si="5"/>
        <v>179.5395</v>
      </c>
      <c r="K10" s="77">
        <v>170.99</v>
      </c>
    </row>
    <row r="11" spans="2:11" s="64" customFormat="1" ht="15.75" customHeight="1" thickBot="1">
      <c r="B11" s="153" t="s">
        <v>588</v>
      </c>
      <c r="C11" s="151"/>
      <c r="D11" s="151"/>
      <c r="E11" s="151"/>
      <c r="F11" s="151"/>
      <c r="G11" s="151"/>
      <c r="H11" s="152"/>
      <c r="I11" s="66"/>
      <c r="J11" s="69"/>
      <c r="K11" s="77"/>
    </row>
    <row r="12" spans="2:11" s="64" customFormat="1">
      <c r="B12" s="115" t="s">
        <v>594</v>
      </c>
      <c r="C12" s="145">
        <v>2.9</v>
      </c>
      <c r="D12" s="165">
        <f>J12*1.25</f>
        <v>364.19250000000005</v>
      </c>
      <c r="E12" s="175">
        <f>J12*1.2</f>
        <v>349.62480000000005</v>
      </c>
      <c r="F12" s="160">
        <f>J12*1.15</f>
        <v>335.05710000000005</v>
      </c>
      <c r="G12" s="176">
        <f>J12*1.1</f>
        <v>320.48940000000005</v>
      </c>
      <c r="H12" s="167">
        <f>J12*1.05</f>
        <v>305.92170000000004</v>
      </c>
      <c r="I12" s="66"/>
      <c r="J12" s="69">
        <f>K12*1.05</f>
        <v>291.35400000000004</v>
      </c>
      <c r="K12" s="77">
        <v>277.48</v>
      </c>
    </row>
    <row r="13" spans="2:11" s="64" customFormat="1">
      <c r="B13" s="116" t="s">
        <v>595</v>
      </c>
      <c r="C13" s="146">
        <v>3</v>
      </c>
      <c r="D13" s="226">
        <f t="shared" ref="D13:D21" si="12">J13*1.25</f>
        <v>420.42</v>
      </c>
      <c r="E13" s="227">
        <f t="shared" ref="E13:E21" si="13">J13*1.2</f>
        <v>403.60320000000002</v>
      </c>
      <c r="F13" s="180">
        <f t="shared" ref="F13:F21" si="14">J13*1.15</f>
        <v>386.78639999999996</v>
      </c>
      <c r="G13" s="181">
        <f t="shared" ref="G13:G21" si="15">J13*1.1</f>
        <v>369.96960000000007</v>
      </c>
      <c r="H13" s="179">
        <f t="shared" ref="H13:H21" si="16">J13*1.05</f>
        <v>353.15280000000001</v>
      </c>
      <c r="I13" s="66"/>
      <c r="J13" s="69">
        <f t="shared" ref="J13:J21" si="17">K13*1.05</f>
        <v>336.33600000000001</v>
      </c>
      <c r="K13" s="77">
        <v>320.32</v>
      </c>
    </row>
    <row r="14" spans="2:11" s="64" customFormat="1">
      <c r="B14" s="116" t="s">
        <v>596</v>
      </c>
      <c r="C14" s="146">
        <v>3</v>
      </c>
      <c r="D14" s="226">
        <f t="shared" si="12"/>
        <v>433.03312500000004</v>
      </c>
      <c r="E14" s="227">
        <f t="shared" si="13"/>
        <v>415.71180000000004</v>
      </c>
      <c r="F14" s="180">
        <f t="shared" si="14"/>
        <v>398.39047499999998</v>
      </c>
      <c r="G14" s="181">
        <f t="shared" si="15"/>
        <v>381.06915000000009</v>
      </c>
      <c r="H14" s="179">
        <f t="shared" si="16"/>
        <v>363.74782500000003</v>
      </c>
      <c r="I14" s="66"/>
      <c r="J14" s="69">
        <f t="shared" si="17"/>
        <v>346.42650000000003</v>
      </c>
      <c r="K14" s="77">
        <v>329.93</v>
      </c>
    </row>
    <row r="15" spans="2:11" s="64" customFormat="1">
      <c r="B15" s="116" t="s">
        <v>597</v>
      </c>
      <c r="C15" s="146">
        <v>3</v>
      </c>
      <c r="D15" s="226">
        <f t="shared" si="12"/>
        <v>433.03312500000004</v>
      </c>
      <c r="E15" s="227">
        <f t="shared" si="13"/>
        <v>415.71180000000004</v>
      </c>
      <c r="F15" s="180">
        <f t="shared" si="14"/>
        <v>398.39047499999998</v>
      </c>
      <c r="G15" s="181">
        <f t="shared" si="15"/>
        <v>381.06915000000009</v>
      </c>
      <c r="H15" s="179">
        <f t="shared" si="16"/>
        <v>363.74782500000003</v>
      </c>
      <c r="I15" s="66"/>
      <c r="J15" s="69">
        <f t="shared" si="17"/>
        <v>346.42650000000003</v>
      </c>
      <c r="K15" s="77">
        <v>329.93</v>
      </c>
    </row>
    <row r="16" spans="2:11" s="64" customFormat="1">
      <c r="B16" s="116" t="s">
        <v>598</v>
      </c>
      <c r="C16" s="146">
        <v>3</v>
      </c>
      <c r="D16" s="226">
        <f t="shared" ref="D16:D17" si="18">J16*1.25</f>
        <v>433.03312500000004</v>
      </c>
      <c r="E16" s="227">
        <f t="shared" ref="E16:E17" si="19">J16*1.2</f>
        <v>415.71180000000004</v>
      </c>
      <c r="F16" s="180">
        <f t="shared" ref="F16:F17" si="20">J16*1.15</f>
        <v>398.39047499999998</v>
      </c>
      <c r="G16" s="181">
        <f t="shared" ref="G16:G17" si="21">J16*1.1</f>
        <v>381.06915000000009</v>
      </c>
      <c r="H16" s="179">
        <f t="shared" ref="H16:H17" si="22">J16*1.05</f>
        <v>363.74782500000003</v>
      </c>
      <c r="I16" s="66"/>
      <c r="J16" s="69">
        <f t="shared" ref="J16:J17" si="23">K16*1.05</f>
        <v>346.42650000000003</v>
      </c>
      <c r="K16" s="77">
        <v>329.93</v>
      </c>
    </row>
    <row r="17" spans="2:11" s="64" customFormat="1">
      <c r="B17" s="116" t="s">
        <v>599</v>
      </c>
      <c r="C17" s="146">
        <v>3.1</v>
      </c>
      <c r="D17" s="226">
        <f t="shared" si="18"/>
        <v>483.48562500000003</v>
      </c>
      <c r="E17" s="227">
        <f t="shared" si="19"/>
        <v>464.14619999999996</v>
      </c>
      <c r="F17" s="180">
        <f t="shared" si="20"/>
        <v>444.80677499999996</v>
      </c>
      <c r="G17" s="181">
        <f t="shared" si="21"/>
        <v>425.46735000000001</v>
      </c>
      <c r="H17" s="179">
        <f t="shared" si="22"/>
        <v>406.127925</v>
      </c>
      <c r="I17" s="66"/>
      <c r="J17" s="69">
        <f t="shared" si="23"/>
        <v>386.7885</v>
      </c>
      <c r="K17" s="77">
        <v>368.37</v>
      </c>
    </row>
    <row r="18" spans="2:11" s="64" customFormat="1">
      <c r="B18" s="116" t="s">
        <v>600</v>
      </c>
      <c r="C18" s="146">
        <v>3.1</v>
      </c>
      <c r="D18" s="226">
        <f t="shared" si="12"/>
        <v>483.48562500000003</v>
      </c>
      <c r="E18" s="227">
        <f t="shared" si="13"/>
        <v>464.14619999999996</v>
      </c>
      <c r="F18" s="180">
        <f t="shared" si="14"/>
        <v>444.80677499999996</v>
      </c>
      <c r="G18" s="181">
        <f t="shared" si="15"/>
        <v>425.46735000000001</v>
      </c>
      <c r="H18" s="179">
        <f t="shared" si="16"/>
        <v>406.127925</v>
      </c>
      <c r="I18" s="66"/>
      <c r="J18" s="69">
        <f t="shared" si="17"/>
        <v>386.7885</v>
      </c>
      <c r="K18" s="77">
        <v>368.37</v>
      </c>
    </row>
    <row r="19" spans="2:11" s="64" customFormat="1">
      <c r="B19" s="116" t="s">
        <v>601</v>
      </c>
      <c r="C19" s="146">
        <v>3.1</v>
      </c>
      <c r="D19" s="226">
        <f t="shared" si="12"/>
        <v>525.52499999999998</v>
      </c>
      <c r="E19" s="227">
        <f t="shared" si="13"/>
        <v>504.50400000000002</v>
      </c>
      <c r="F19" s="180">
        <f t="shared" si="14"/>
        <v>483.483</v>
      </c>
      <c r="G19" s="181">
        <f t="shared" si="15"/>
        <v>462.46200000000005</v>
      </c>
      <c r="H19" s="179">
        <f t="shared" si="16"/>
        <v>441.44100000000003</v>
      </c>
      <c r="I19" s="66"/>
      <c r="J19" s="69">
        <f t="shared" si="17"/>
        <v>420.42</v>
      </c>
      <c r="K19" s="77">
        <v>400.4</v>
      </c>
    </row>
    <row r="20" spans="2:11" s="64" customFormat="1">
      <c r="B20" s="116" t="s">
        <v>602</v>
      </c>
      <c r="C20" s="146">
        <v>2.4</v>
      </c>
      <c r="D20" s="226">
        <f t="shared" si="12"/>
        <v>618.26625000000001</v>
      </c>
      <c r="E20" s="227">
        <f t="shared" si="13"/>
        <v>593.53559999999993</v>
      </c>
      <c r="F20" s="180">
        <f t="shared" si="14"/>
        <v>568.80494999999996</v>
      </c>
      <c r="G20" s="181">
        <f t="shared" si="15"/>
        <v>544.07429999999999</v>
      </c>
      <c r="H20" s="179">
        <f t="shared" si="16"/>
        <v>519.34365000000003</v>
      </c>
      <c r="I20" s="66"/>
      <c r="J20" s="69">
        <f t="shared" si="17"/>
        <v>494.613</v>
      </c>
      <c r="K20" s="77">
        <v>471.06</v>
      </c>
    </row>
    <row r="21" spans="2:11" s="64" customFormat="1" ht="15.75" thickBot="1">
      <c r="B21" s="117" t="s">
        <v>603</v>
      </c>
      <c r="C21" s="148">
        <v>11</v>
      </c>
      <c r="D21" s="230">
        <f t="shared" si="12"/>
        <v>249.388125</v>
      </c>
      <c r="E21" s="231">
        <f t="shared" si="13"/>
        <v>239.4126</v>
      </c>
      <c r="F21" s="232">
        <f t="shared" si="14"/>
        <v>229.43707499999999</v>
      </c>
      <c r="G21" s="233">
        <f t="shared" si="15"/>
        <v>219.46155000000002</v>
      </c>
      <c r="H21" s="234">
        <f t="shared" si="16"/>
        <v>209.48602500000001</v>
      </c>
      <c r="I21" s="66"/>
      <c r="J21" s="69">
        <f t="shared" si="17"/>
        <v>199.51050000000001</v>
      </c>
      <c r="K21" s="77">
        <v>190.01</v>
      </c>
    </row>
    <row r="22" spans="2:11" s="64" customFormat="1" ht="15.75" customHeight="1" thickBot="1">
      <c r="B22" s="153" t="s">
        <v>604</v>
      </c>
      <c r="C22" s="151"/>
      <c r="D22" s="151"/>
      <c r="E22" s="151"/>
      <c r="F22" s="151"/>
      <c r="G22" s="151"/>
      <c r="H22" s="152"/>
      <c r="I22" s="66"/>
      <c r="J22" s="69"/>
      <c r="K22" s="77"/>
    </row>
    <row r="23" spans="2:11" s="64" customFormat="1" ht="15.75" thickBot="1">
      <c r="B23" s="115" t="s">
        <v>605</v>
      </c>
      <c r="C23" s="145">
        <v>10</v>
      </c>
      <c r="D23" s="165">
        <f>J23*1.25</f>
        <v>313.51687500000003</v>
      </c>
      <c r="E23" s="175">
        <f>J23*1.2</f>
        <v>300.97620000000001</v>
      </c>
      <c r="F23" s="160">
        <f>J23*1.15</f>
        <v>288.43552499999998</v>
      </c>
      <c r="G23" s="176">
        <f>J23*1.1</f>
        <v>275.89485000000002</v>
      </c>
      <c r="H23" s="167">
        <f>J23*1.05</f>
        <v>263.354175</v>
      </c>
      <c r="I23" s="66"/>
      <c r="J23" s="69">
        <f>K23*1.05</f>
        <v>250.8135</v>
      </c>
      <c r="K23" s="77">
        <v>238.87</v>
      </c>
    </row>
    <row r="24" spans="2:11" s="64" customFormat="1" ht="15.75" customHeight="1" thickBot="1">
      <c r="B24" s="153" t="s">
        <v>606</v>
      </c>
      <c r="C24" s="151"/>
      <c r="D24" s="151"/>
      <c r="E24" s="151"/>
      <c r="F24" s="151"/>
      <c r="G24" s="151"/>
      <c r="H24" s="152"/>
      <c r="I24" s="66"/>
      <c r="J24" s="69"/>
      <c r="K24" s="77"/>
    </row>
    <row r="25" spans="2:11" s="64" customFormat="1">
      <c r="B25" s="115" t="s">
        <v>607</v>
      </c>
      <c r="C25" s="145">
        <v>15</v>
      </c>
      <c r="D25" s="165">
        <f>J25*1.25</f>
        <v>64.680000000000007</v>
      </c>
      <c r="E25" s="175">
        <f>J25*1.2</f>
        <v>62.092800000000004</v>
      </c>
      <c r="F25" s="160">
        <f>J25*1.15</f>
        <v>59.505600000000001</v>
      </c>
      <c r="G25" s="176">
        <f>J25*1.1</f>
        <v>56.918400000000013</v>
      </c>
      <c r="H25" s="167">
        <f>J25*1.05</f>
        <v>54.33120000000001</v>
      </c>
      <c r="I25" s="66"/>
      <c r="J25" s="69">
        <f>K25*1.05</f>
        <v>51.744000000000007</v>
      </c>
      <c r="K25" s="77">
        <v>49.28</v>
      </c>
    </row>
    <row r="26" spans="2:11" s="64" customFormat="1">
      <c r="B26" s="116" t="s">
        <v>609</v>
      </c>
      <c r="C26" s="146">
        <v>15</v>
      </c>
      <c r="D26" s="226">
        <f t="shared" ref="D26:D28" si="24">J26*1.25</f>
        <v>68.223749999999995</v>
      </c>
      <c r="E26" s="227">
        <f t="shared" ref="E26:E28" si="25">J26*1.2</f>
        <v>65.494799999999998</v>
      </c>
      <c r="F26" s="180">
        <f t="shared" ref="F26:F28" si="26">J26*1.15</f>
        <v>62.765849999999993</v>
      </c>
      <c r="G26" s="181">
        <f t="shared" ref="G26:G28" si="27">J26*1.1</f>
        <v>60.036900000000003</v>
      </c>
      <c r="H26" s="179">
        <f t="shared" ref="H26:H28" si="28">J26*1.05</f>
        <v>57.307950000000005</v>
      </c>
      <c r="I26" s="66"/>
      <c r="J26" s="69">
        <f t="shared" ref="J26:J28" si="29">K26*1.05</f>
        <v>54.579000000000001</v>
      </c>
      <c r="K26" s="77">
        <v>51.98</v>
      </c>
    </row>
    <row r="27" spans="2:11" s="64" customFormat="1">
      <c r="B27" s="116" t="s">
        <v>610</v>
      </c>
      <c r="C27" s="146">
        <v>30</v>
      </c>
      <c r="D27" s="226">
        <f t="shared" si="24"/>
        <v>84.091875000000002</v>
      </c>
      <c r="E27" s="227">
        <f t="shared" si="25"/>
        <v>80.728200000000001</v>
      </c>
      <c r="F27" s="180">
        <f t="shared" si="26"/>
        <v>77.364524999999986</v>
      </c>
      <c r="G27" s="181">
        <f t="shared" si="27"/>
        <v>74.00085</v>
      </c>
      <c r="H27" s="179">
        <f t="shared" si="28"/>
        <v>70.637174999999999</v>
      </c>
      <c r="I27" s="66"/>
      <c r="J27" s="69">
        <f t="shared" si="29"/>
        <v>67.273499999999999</v>
      </c>
      <c r="K27" s="77">
        <v>64.069999999999993</v>
      </c>
    </row>
    <row r="28" spans="2:11" s="64" customFormat="1">
      <c r="B28" s="116" t="s">
        <v>610</v>
      </c>
      <c r="C28" s="146">
        <v>15</v>
      </c>
      <c r="D28" s="226">
        <f t="shared" si="24"/>
        <v>84.091875000000002</v>
      </c>
      <c r="E28" s="227">
        <f t="shared" si="25"/>
        <v>80.728200000000001</v>
      </c>
      <c r="F28" s="180">
        <f t="shared" si="26"/>
        <v>77.364524999999986</v>
      </c>
      <c r="G28" s="181">
        <f t="shared" si="27"/>
        <v>74.00085</v>
      </c>
      <c r="H28" s="179">
        <f t="shared" si="28"/>
        <v>70.637174999999999</v>
      </c>
      <c r="I28" s="66"/>
      <c r="J28" s="69">
        <f t="shared" si="29"/>
        <v>67.273499999999999</v>
      </c>
      <c r="K28" s="77">
        <v>64.069999999999993</v>
      </c>
    </row>
    <row r="29" spans="2:11" s="64" customFormat="1">
      <c r="B29" s="116" t="s">
        <v>611</v>
      </c>
      <c r="C29" s="146">
        <v>40</v>
      </c>
      <c r="D29" s="226">
        <f t="shared" ref="D29:D31" si="30">J29*1.25</f>
        <v>102.25687499999999</v>
      </c>
      <c r="E29" s="227">
        <f t="shared" ref="E29:E31" si="31">J29*1.2</f>
        <v>98.166599999999988</v>
      </c>
      <c r="F29" s="180">
        <f t="shared" ref="F29:F31" si="32">J29*1.15</f>
        <v>94.076324999999983</v>
      </c>
      <c r="G29" s="181">
        <f t="shared" ref="G29:G31" si="33">J29*1.1</f>
        <v>89.986050000000006</v>
      </c>
      <c r="H29" s="179">
        <f t="shared" ref="H29:H31" si="34">J29*1.05</f>
        <v>85.895775</v>
      </c>
      <c r="I29" s="66"/>
      <c r="J29" s="69">
        <f t="shared" ref="J29:J31" si="35">K29*1.05</f>
        <v>81.805499999999995</v>
      </c>
      <c r="K29" s="77">
        <v>77.91</v>
      </c>
    </row>
    <row r="30" spans="2:11" s="64" customFormat="1">
      <c r="B30" s="116" t="s">
        <v>612</v>
      </c>
      <c r="C30" s="146">
        <v>30</v>
      </c>
      <c r="D30" s="226">
        <f t="shared" si="30"/>
        <v>136.40812500000001</v>
      </c>
      <c r="E30" s="227">
        <f t="shared" si="31"/>
        <v>130.95179999999999</v>
      </c>
      <c r="F30" s="180">
        <f t="shared" si="32"/>
        <v>125.495475</v>
      </c>
      <c r="G30" s="181">
        <f t="shared" si="33"/>
        <v>120.03915000000002</v>
      </c>
      <c r="H30" s="179">
        <f t="shared" si="34"/>
        <v>114.58282500000001</v>
      </c>
      <c r="I30" s="66"/>
      <c r="J30" s="69">
        <f t="shared" si="35"/>
        <v>109.12650000000001</v>
      </c>
      <c r="K30" s="77">
        <v>103.93</v>
      </c>
    </row>
    <row r="31" spans="2:11" s="64" customFormat="1" ht="15.75" thickBot="1">
      <c r="B31" s="117" t="s">
        <v>613</v>
      </c>
      <c r="C31" s="148">
        <v>15</v>
      </c>
      <c r="D31" s="230">
        <f t="shared" si="30"/>
        <v>175.78312500000004</v>
      </c>
      <c r="E31" s="231">
        <f t="shared" si="31"/>
        <v>168.75180000000003</v>
      </c>
      <c r="F31" s="232">
        <f t="shared" si="32"/>
        <v>161.72047500000002</v>
      </c>
      <c r="G31" s="233">
        <f t="shared" si="33"/>
        <v>154.68915000000004</v>
      </c>
      <c r="H31" s="234">
        <f t="shared" si="34"/>
        <v>147.65782500000003</v>
      </c>
      <c r="I31" s="66"/>
      <c r="J31" s="69">
        <f t="shared" si="35"/>
        <v>140.62650000000002</v>
      </c>
      <c r="K31" s="77">
        <v>133.93</v>
      </c>
    </row>
    <row r="32" spans="2:11" s="64" customFormat="1" ht="15.75" customHeight="1" thickBot="1">
      <c r="B32" s="153" t="s">
        <v>614</v>
      </c>
      <c r="C32" s="151"/>
      <c r="D32" s="151"/>
      <c r="E32" s="151"/>
      <c r="F32" s="151"/>
      <c r="G32" s="151"/>
      <c r="H32" s="152"/>
      <c r="I32" s="66"/>
      <c r="J32" s="69"/>
      <c r="K32" s="77"/>
    </row>
    <row r="33" spans="2:12" s="64" customFormat="1">
      <c r="B33" s="115" t="s">
        <v>615</v>
      </c>
      <c r="C33" s="145"/>
      <c r="D33" s="165">
        <f>J33*1.25</f>
        <v>428.49187500000005</v>
      </c>
      <c r="E33" s="175">
        <f>J33*1.2</f>
        <v>411.35220000000004</v>
      </c>
      <c r="F33" s="160">
        <f>J33*1.15</f>
        <v>394.21252500000003</v>
      </c>
      <c r="G33" s="176">
        <f>J33*1.1</f>
        <v>377.07285000000007</v>
      </c>
      <c r="H33" s="167">
        <f>J33*1.05</f>
        <v>359.93317500000006</v>
      </c>
      <c r="I33" s="66"/>
      <c r="J33" s="69">
        <f>K33*1.05</f>
        <v>342.79350000000005</v>
      </c>
      <c r="K33" s="77">
        <v>326.47000000000003</v>
      </c>
    </row>
    <row r="34" spans="2:12" s="64" customFormat="1">
      <c r="B34" s="116" t="s">
        <v>616</v>
      </c>
      <c r="C34" s="146"/>
      <c r="D34" s="226">
        <f t="shared" ref="D34" si="36">J34*1.25</f>
        <v>152.36812500000002</v>
      </c>
      <c r="E34" s="227">
        <f t="shared" ref="E34" si="37">J34*1.2</f>
        <v>146.27340000000001</v>
      </c>
      <c r="F34" s="180">
        <f t="shared" ref="F34" si="38">J34*1.15</f>
        <v>140.178675</v>
      </c>
      <c r="G34" s="181">
        <f t="shared" ref="G34" si="39">J34*1.1</f>
        <v>134.08395000000002</v>
      </c>
      <c r="H34" s="179">
        <f t="shared" ref="H34" si="40">J34*1.05</f>
        <v>127.98922500000002</v>
      </c>
      <c r="I34" s="66"/>
      <c r="J34" s="69">
        <f t="shared" ref="J34" si="41">K34*1.05</f>
        <v>121.89450000000001</v>
      </c>
      <c r="K34" s="77">
        <v>116.09</v>
      </c>
    </row>
    <row r="35" spans="2:12" s="64" customFormat="1">
      <c r="B35" s="116" t="s">
        <v>617</v>
      </c>
      <c r="C35" s="146"/>
      <c r="D35" s="226">
        <f t="shared" ref="D35:D37" si="42">J35*1.25</f>
        <v>147.90562499999999</v>
      </c>
      <c r="E35" s="227">
        <f t="shared" ref="E35:E37" si="43">J35*1.2</f>
        <v>141.98939999999999</v>
      </c>
      <c r="F35" s="180">
        <f t="shared" ref="F35:F37" si="44">J35*1.15</f>
        <v>136.07317499999999</v>
      </c>
      <c r="G35" s="181">
        <f t="shared" ref="G35:G37" si="45">J35*1.1</f>
        <v>130.15695000000002</v>
      </c>
      <c r="H35" s="179">
        <f t="shared" ref="H35:H37" si="46">J35*1.05</f>
        <v>124.24072500000001</v>
      </c>
      <c r="I35" s="66"/>
      <c r="J35" s="69">
        <f t="shared" ref="J35:J37" si="47">K35*1.05</f>
        <v>118.3245</v>
      </c>
      <c r="K35" s="77">
        <v>112.69</v>
      </c>
    </row>
    <row r="36" spans="2:12" s="64" customFormat="1">
      <c r="B36" s="116" t="s">
        <v>618</v>
      </c>
      <c r="C36" s="146"/>
      <c r="D36" s="226">
        <f t="shared" si="42"/>
        <v>133.33687500000002</v>
      </c>
      <c r="E36" s="227">
        <f t="shared" si="43"/>
        <v>128.0034</v>
      </c>
      <c r="F36" s="180">
        <f t="shared" si="44"/>
        <v>122.66992500000001</v>
      </c>
      <c r="G36" s="181">
        <f t="shared" si="45"/>
        <v>117.33645000000003</v>
      </c>
      <c r="H36" s="179">
        <f t="shared" si="46"/>
        <v>112.00297500000002</v>
      </c>
      <c r="I36" s="66"/>
      <c r="J36" s="69">
        <f t="shared" si="47"/>
        <v>106.66950000000001</v>
      </c>
      <c r="K36" s="77">
        <v>101.59</v>
      </c>
    </row>
    <row r="37" spans="2:12" s="64" customFormat="1" ht="15.75" thickBot="1">
      <c r="B37" s="117" t="s">
        <v>619</v>
      </c>
      <c r="C37" s="148"/>
      <c r="D37" s="230">
        <f t="shared" si="42"/>
        <v>36.566249999999997</v>
      </c>
      <c r="E37" s="231">
        <f t="shared" si="43"/>
        <v>35.1036</v>
      </c>
      <c r="F37" s="232">
        <f t="shared" si="44"/>
        <v>33.640949999999997</v>
      </c>
      <c r="G37" s="233">
        <f t="shared" si="45"/>
        <v>32.1783</v>
      </c>
      <c r="H37" s="234">
        <f t="shared" si="46"/>
        <v>30.71565</v>
      </c>
      <c r="I37" s="66"/>
      <c r="J37" s="69">
        <f t="shared" si="47"/>
        <v>29.253</v>
      </c>
      <c r="K37" s="77">
        <v>27.86</v>
      </c>
    </row>
    <row r="38" spans="2:12">
      <c r="G38" s="84"/>
      <c r="H38" s="84"/>
    </row>
    <row r="39" spans="2:12">
      <c r="G39" s="84"/>
      <c r="H39" s="84"/>
    </row>
    <row r="40" spans="2:12" s="381" customFormat="1">
      <c r="B40" s="375"/>
      <c r="C40" s="376"/>
      <c r="D40" s="377"/>
      <c r="E40" s="377"/>
      <c r="F40" s="377"/>
      <c r="G40" s="378"/>
      <c r="H40" s="378"/>
      <c r="I40" s="377"/>
      <c r="J40" s="379"/>
      <c r="K40" s="380"/>
    </row>
    <row r="41" spans="2:12" s="377" customFormat="1">
      <c r="B41" s="375"/>
      <c r="C41" s="376"/>
      <c r="G41" s="378"/>
      <c r="H41" s="378"/>
      <c r="J41" s="379"/>
      <c r="K41" s="380"/>
      <c r="L41" s="381"/>
    </row>
    <row r="42" spans="2:12" s="377" customFormat="1">
      <c r="B42" s="375"/>
      <c r="C42" s="376"/>
      <c r="G42" s="378"/>
      <c r="H42" s="378"/>
      <c r="J42" s="379"/>
      <c r="K42" s="380"/>
      <c r="L42" s="381"/>
    </row>
    <row r="43" spans="2:12" s="377" customFormat="1">
      <c r="B43" s="375"/>
      <c r="C43" s="376"/>
      <c r="G43" s="378"/>
      <c r="H43" s="378"/>
      <c r="J43" s="379"/>
      <c r="K43" s="380"/>
      <c r="L43" s="381"/>
    </row>
    <row r="44" spans="2:12" s="377" customFormat="1">
      <c r="B44" s="375"/>
      <c r="C44" s="376"/>
      <c r="G44" s="378"/>
      <c r="H44" s="378"/>
      <c r="J44" s="379"/>
      <c r="K44" s="380"/>
      <c r="L44" s="381"/>
    </row>
    <row r="45" spans="2:12" s="377" customFormat="1">
      <c r="B45" s="375"/>
      <c r="C45" s="376"/>
      <c r="G45" s="378"/>
      <c r="H45" s="378"/>
      <c r="J45" s="379"/>
      <c r="K45" s="380"/>
      <c r="L45" s="381"/>
    </row>
    <row r="46" spans="2:12" s="377" customFormat="1">
      <c r="B46" s="375"/>
      <c r="C46" s="376"/>
      <c r="G46" s="378"/>
      <c r="H46" s="378"/>
      <c r="J46" s="379"/>
      <c r="K46" s="380"/>
      <c r="L46" s="381"/>
    </row>
    <row r="47" spans="2:12" s="377" customFormat="1">
      <c r="B47" s="375"/>
      <c r="C47" s="376"/>
      <c r="G47" s="378"/>
      <c r="H47" s="378"/>
      <c r="J47" s="379"/>
      <c r="K47" s="380"/>
      <c r="L47" s="381"/>
    </row>
    <row r="48" spans="2:12" s="377" customFormat="1">
      <c r="B48" s="375"/>
      <c r="C48" s="376"/>
      <c r="G48" s="378"/>
      <c r="H48" s="378"/>
      <c r="J48" s="379"/>
      <c r="K48" s="380"/>
      <c r="L48" s="381"/>
    </row>
    <row r="49" spans="2:12" s="377" customFormat="1">
      <c r="B49" s="375"/>
      <c r="C49" s="376"/>
      <c r="G49" s="378"/>
      <c r="H49" s="378"/>
      <c r="J49" s="379"/>
      <c r="K49" s="380"/>
      <c r="L49" s="381"/>
    </row>
    <row r="50" spans="2:12" s="377" customFormat="1">
      <c r="B50" s="375"/>
      <c r="C50" s="376"/>
      <c r="G50" s="378"/>
      <c r="H50" s="378"/>
      <c r="J50" s="379"/>
      <c r="K50" s="380"/>
      <c r="L50" s="381"/>
    </row>
    <row r="51" spans="2:12" s="377" customFormat="1">
      <c r="B51" s="375"/>
      <c r="C51" s="376"/>
      <c r="G51" s="378"/>
      <c r="H51" s="378"/>
      <c r="J51" s="379"/>
      <c r="K51" s="380"/>
      <c r="L51" s="381"/>
    </row>
    <row r="52" spans="2:12" s="377" customFormat="1">
      <c r="B52" s="375"/>
      <c r="C52" s="376"/>
      <c r="G52" s="378"/>
      <c r="H52" s="378"/>
      <c r="J52" s="379"/>
      <c r="K52" s="380"/>
      <c r="L52" s="381"/>
    </row>
    <row r="53" spans="2:12" s="377" customFormat="1">
      <c r="B53" s="375"/>
      <c r="C53" s="376"/>
      <c r="G53" s="378"/>
      <c r="H53" s="378"/>
      <c r="J53" s="379"/>
      <c r="K53" s="380"/>
      <c r="L53" s="381"/>
    </row>
    <row r="54" spans="2:12" s="377" customFormat="1">
      <c r="B54" s="375"/>
      <c r="C54" s="376"/>
      <c r="G54" s="378"/>
      <c r="H54" s="378"/>
      <c r="J54" s="379"/>
      <c r="K54" s="380"/>
      <c r="L54" s="381"/>
    </row>
    <row r="55" spans="2:12" s="377" customFormat="1">
      <c r="B55" s="375"/>
      <c r="C55" s="376"/>
      <c r="G55" s="378"/>
      <c r="H55" s="378"/>
      <c r="J55" s="379"/>
      <c r="K55" s="380"/>
      <c r="L55" s="381"/>
    </row>
    <row r="56" spans="2:12" s="377" customFormat="1">
      <c r="B56" s="375"/>
      <c r="C56" s="376"/>
      <c r="G56" s="378"/>
      <c r="H56" s="378"/>
      <c r="J56" s="379"/>
      <c r="K56" s="380"/>
      <c r="L56" s="381"/>
    </row>
    <row r="57" spans="2:12" s="377" customFormat="1">
      <c r="B57" s="375"/>
      <c r="C57" s="376"/>
      <c r="G57" s="378"/>
      <c r="H57" s="378"/>
      <c r="J57" s="379"/>
      <c r="K57" s="380"/>
      <c r="L57" s="381"/>
    </row>
    <row r="58" spans="2:12" s="377" customFormat="1">
      <c r="B58" s="375"/>
      <c r="C58" s="376"/>
      <c r="G58" s="378"/>
      <c r="H58" s="378"/>
      <c r="J58" s="379"/>
      <c r="K58" s="380"/>
      <c r="L58" s="381"/>
    </row>
    <row r="59" spans="2:12" s="377" customFormat="1">
      <c r="B59" s="375"/>
      <c r="C59" s="376"/>
      <c r="G59" s="378"/>
      <c r="H59" s="378"/>
      <c r="J59" s="379"/>
      <c r="K59" s="380"/>
      <c r="L59" s="381"/>
    </row>
    <row r="60" spans="2:12" s="377" customFormat="1">
      <c r="B60" s="375"/>
      <c r="C60" s="376"/>
      <c r="G60" s="378"/>
      <c r="H60" s="378"/>
      <c r="J60" s="379"/>
      <c r="K60" s="380"/>
      <c r="L60" s="381"/>
    </row>
    <row r="61" spans="2:12" s="377" customFormat="1">
      <c r="B61" s="375"/>
      <c r="C61" s="376"/>
      <c r="G61" s="378"/>
      <c r="H61" s="378"/>
      <c r="J61" s="379"/>
      <c r="K61" s="380"/>
      <c r="L61" s="381"/>
    </row>
    <row r="62" spans="2:12" s="377" customFormat="1">
      <c r="B62" s="375"/>
      <c r="C62" s="376"/>
      <c r="G62" s="378"/>
      <c r="H62" s="378"/>
      <c r="J62" s="379"/>
      <c r="K62" s="380"/>
      <c r="L62" s="381"/>
    </row>
    <row r="63" spans="2:12" s="377" customFormat="1">
      <c r="B63" s="375"/>
      <c r="C63" s="376"/>
      <c r="G63" s="378"/>
      <c r="H63" s="378"/>
      <c r="J63" s="379"/>
      <c r="K63" s="380"/>
      <c r="L63" s="381"/>
    </row>
    <row r="64" spans="2:12" s="377" customFormat="1">
      <c r="B64" s="375"/>
      <c r="C64" s="376"/>
      <c r="G64" s="378"/>
      <c r="H64" s="378"/>
      <c r="J64" s="379"/>
      <c r="K64" s="380"/>
      <c r="L64" s="381"/>
    </row>
    <row r="65" spans="2:12" s="377" customFormat="1">
      <c r="B65" s="375"/>
      <c r="C65" s="376"/>
      <c r="G65" s="378"/>
      <c r="H65" s="378"/>
      <c r="J65" s="379"/>
      <c r="K65" s="380"/>
      <c r="L65" s="381"/>
    </row>
    <row r="66" spans="2:12" s="377" customFormat="1">
      <c r="B66" s="375"/>
      <c r="C66" s="376"/>
      <c r="G66" s="378"/>
      <c r="H66" s="378"/>
      <c r="J66" s="379"/>
      <c r="K66" s="380"/>
      <c r="L66" s="381"/>
    </row>
    <row r="67" spans="2:12" s="377" customFormat="1">
      <c r="B67" s="375"/>
      <c r="C67" s="376"/>
      <c r="G67" s="378"/>
      <c r="H67" s="378"/>
      <c r="J67" s="379"/>
      <c r="K67" s="380"/>
      <c r="L67" s="381"/>
    </row>
    <row r="68" spans="2:12" s="377" customFormat="1">
      <c r="B68" s="375"/>
      <c r="C68" s="376"/>
      <c r="G68" s="378"/>
      <c r="H68" s="378"/>
      <c r="J68" s="379"/>
      <c r="K68" s="380"/>
      <c r="L68" s="381"/>
    </row>
    <row r="69" spans="2:12" s="377" customFormat="1">
      <c r="B69" s="375"/>
      <c r="C69" s="376"/>
      <c r="G69" s="378"/>
      <c r="H69" s="378"/>
      <c r="J69" s="379"/>
      <c r="K69" s="380"/>
      <c r="L69" s="381"/>
    </row>
    <row r="70" spans="2:12" s="377" customFormat="1">
      <c r="B70" s="375"/>
      <c r="C70" s="376"/>
      <c r="G70" s="378"/>
      <c r="H70" s="378"/>
      <c r="J70" s="379"/>
      <c r="K70" s="380"/>
      <c r="L70" s="381"/>
    </row>
    <row r="71" spans="2:12" s="377" customFormat="1">
      <c r="B71" s="375"/>
      <c r="C71" s="376"/>
      <c r="G71" s="378"/>
      <c r="H71" s="378"/>
      <c r="J71" s="379"/>
      <c r="K71" s="380"/>
      <c r="L71" s="381"/>
    </row>
    <row r="72" spans="2:12" s="377" customFormat="1">
      <c r="B72" s="375"/>
      <c r="C72" s="376"/>
      <c r="G72" s="378"/>
      <c r="H72" s="378"/>
      <c r="J72" s="379"/>
      <c r="K72" s="380"/>
      <c r="L72" s="381"/>
    </row>
    <row r="73" spans="2:12" s="377" customFormat="1">
      <c r="B73" s="375"/>
      <c r="C73" s="376"/>
      <c r="G73" s="378"/>
      <c r="H73" s="378"/>
      <c r="J73" s="379"/>
      <c r="K73" s="380"/>
      <c r="L73" s="381"/>
    </row>
    <row r="74" spans="2:12" s="377" customFormat="1">
      <c r="B74" s="375"/>
      <c r="C74" s="376"/>
      <c r="G74" s="378"/>
      <c r="H74" s="378"/>
      <c r="J74" s="379"/>
      <c r="K74" s="380"/>
      <c r="L74" s="381"/>
    </row>
    <row r="75" spans="2:12" s="377" customFormat="1">
      <c r="B75" s="375"/>
      <c r="C75" s="376"/>
      <c r="G75" s="378"/>
      <c r="H75" s="378"/>
      <c r="J75" s="379"/>
      <c r="K75" s="380"/>
      <c r="L75" s="381"/>
    </row>
    <row r="76" spans="2:12" s="377" customFormat="1">
      <c r="B76" s="375"/>
      <c r="C76" s="376"/>
      <c r="G76" s="378"/>
      <c r="H76" s="378"/>
      <c r="J76" s="379"/>
      <c r="K76" s="380"/>
      <c r="L76" s="381"/>
    </row>
    <row r="77" spans="2:12" s="377" customFormat="1">
      <c r="B77" s="375"/>
      <c r="C77" s="376"/>
      <c r="G77" s="378"/>
      <c r="H77" s="378"/>
      <c r="J77" s="379"/>
      <c r="K77" s="380"/>
      <c r="L77" s="381"/>
    </row>
    <row r="78" spans="2:12" s="377" customFormat="1">
      <c r="B78" s="375"/>
      <c r="C78" s="376"/>
      <c r="G78" s="378"/>
      <c r="H78" s="378"/>
      <c r="J78" s="379"/>
      <c r="K78" s="380"/>
      <c r="L78" s="381"/>
    </row>
    <row r="79" spans="2:12" s="377" customFormat="1">
      <c r="B79" s="375"/>
      <c r="C79" s="376"/>
      <c r="G79" s="378"/>
      <c r="H79" s="378"/>
      <c r="J79" s="379"/>
      <c r="K79" s="380"/>
      <c r="L79" s="381"/>
    </row>
    <row r="80" spans="2:12" s="377" customFormat="1">
      <c r="B80" s="375"/>
      <c r="C80" s="376"/>
      <c r="G80" s="378"/>
      <c r="H80" s="378"/>
      <c r="J80" s="379"/>
      <c r="K80" s="380"/>
      <c r="L80" s="381"/>
    </row>
    <row r="81" spans="2:12" s="377" customFormat="1">
      <c r="B81" s="375"/>
      <c r="C81" s="376"/>
      <c r="G81" s="378"/>
      <c r="H81" s="378"/>
      <c r="J81" s="379"/>
      <c r="K81" s="380"/>
      <c r="L81" s="381"/>
    </row>
    <row r="82" spans="2:12" s="377" customFormat="1">
      <c r="B82" s="375"/>
      <c r="C82" s="376"/>
      <c r="G82" s="378"/>
      <c r="H82" s="378"/>
      <c r="J82" s="379"/>
      <c r="K82" s="380"/>
      <c r="L82" s="381"/>
    </row>
    <row r="83" spans="2:12" s="377" customFormat="1">
      <c r="B83" s="375"/>
      <c r="C83" s="376"/>
      <c r="G83" s="378"/>
      <c r="H83" s="378"/>
      <c r="J83" s="379"/>
      <c r="K83" s="380"/>
      <c r="L83" s="381"/>
    </row>
    <row r="84" spans="2:12" s="377" customFormat="1">
      <c r="B84" s="375"/>
      <c r="C84" s="376"/>
      <c r="G84" s="378"/>
      <c r="H84" s="378"/>
      <c r="J84" s="379"/>
      <c r="K84" s="380"/>
      <c r="L84" s="381"/>
    </row>
    <row r="85" spans="2:12" s="377" customFormat="1">
      <c r="B85" s="375"/>
      <c r="C85" s="376"/>
      <c r="G85" s="378"/>
      <c r="H85" s="378"/>
      <c r="J85" s="379"/>
      <c r="K85" s="380"/>
      <c r="L85" s="381"/>
    </row>
    <row r="86" spans="2:12" s="377" customFormat="1">
      <c r="B86" s="375"/>
      <c r="C86" s="376"/>
      <c r="G86" s="378"/>
      <c r="H86" s="378"/>
      <c r="J86" s="379"/>
      <c r="K86" s="380"/>
      <c r="L86" s="381"/>
    </row>
    <row r="87" spans="2:12" s="377" customFormat="1">
      <c r="B87" s="375"/>
      <c r="C87" s="376"/>
      <c r="G87" s="378"/>
      <c r="H87" s="378"/>
      <c r="J87" s="379"/>
      <c r="K87" s="380"/>
      <c r="L87" s="381"/>
    </row>
    <row r="88" spans="2:12" s="377" customFormat="1">
      <c r="B88" s="375"/>
      <c r="C88" s="376"/>
      <c r="G88" s="378"/>
      <c r="H88" s="378"/>
      <c r="J88" s="379"/>
      <c r="K88" s="380"/>
      <c r="L88" s="381"/>
    </row>
    <row r="89" spans="2:12" s="377" customFormat="1">
      <c r="B89" s="375"/>
      <c r="C89" s="376"/>
      <c r="G89" s="378"/>
      <c r="H89" s="378"/>
      <c r="J89" s="379"/>
      <c r="K89" s="380"/>
      <c r="L89" s="381"/>
    </row>
    <row r="90" spans="2:12" s="377" customFormat="1">
      <c r="B90" s="375"/>
      <c r="C90" s="376"/>
      <c r="G90" s="378"/>
      <c r="H90" s="378"/>
      <c r="J90" s="379"/>
      <c r="K90" s="380"/>
      <c r="L90" s="381"/>
    </row>
    <row r="91" spans="2:12" s="377" customFormat="1">
      <c r="B91" s="375"/>
      <c r="C91" s="376"/>
      <c r="G91" s="378"/>
      <c r="H91" s="378"/>
      <c r="J91" s="379"/>
      <c r="K91" s="380"/>
      <c r="L91" s="381"/>
    </row>
    <row r="92" spans="2:12" s="377" customFormat="1">
      <c r="B92" s="375"/>
      <c r="C92" s="376"/>
      <c r="G92" s="378"/>
      <c r="H92" s="378"/>
      <c r="J92" s="379"/>
      <c r="K92" s="380"/>
      <c r="L92" s="381"/>
    </row>
    <row r="93" spans="2:12" s="377" customFormat="1">
      <c r="B93" s="375"/>
      <c r="C93" s="376"/>
      <c r="G93" s="378"/>
      <c r="H93" s="378"/>
      <c r="J93" s="379"/>
      <c r="K93" s="380"/>
      <c r="L93" s="381"/>
    </row>
    <row r="94" spans="2:12" s="377" customFormat="1">
      <c r="B94" s="375"/>
      <c r="C94" s="376"/>
      <c r="G94" s="378"/>
      <c r="H94" s="378"/>
      <c r="J94" s="379"/>
      <c r="K94" s="380"/>
      <c r="L94" s="381"/>
    </row>
    <row r="95" spans="2:12" s="377" customFormat="1">
      <c r="B95" s="375"/>
      <c r="C95" s="376"/>
      <c r="G95" s="378"/>
      <c r="H95" s="378"/>
      <c r="J95" s="379"/>
      <c r="K95" s="380"/>
      <c r="L95" s="381"/>
    </row>
    <row r="96" spans="2:12" s="377" customFormat="1">
      <c r="B96" s="375"/>
      <c r="C96" s="376"/>
      <c r="G96" s="378"/>
      <c r="H96" s="378"/>
      <c r="J96" s="379"/>
      <c r="K96" s="380"/>
      <c r="L96" s="381"/>
    </row>
    <row r="97" spans="2:12" s="377" customFormat="1">
      <c r="B97" s="375"/>
      <c r="C97" s="376"/>
      <c r="G97" s="378"/>
      <c r="H97" s="378"/>
      <c r="J97" s="379"/>
      <c r="K97" s="380"/>
      <c r="L97" s="381"/>
    </row>
    <row r="98" spans="2:12" s="377" customFormat="1">
      <c r="B98" s="375"/>
      <c r="C98" s="376"/>
      <c r="G98" s="378"/>
      <c r="H98" s="378"/>
      <c r="J98" s="379"/>
      <c r="K98" s="380"/>
      <c r="L98" s="381"/>
    </row>
    <row r="99" spans="2:12" s="377" customFormat="1">
      <c r="B99" s="375"/>
      <c r="C99" s="376"/>
      <c r="G99" s="378"/>
      <c r="H99" s="378"/>
      <c r="J99" s="379"/>
      <c r="K99" s="380"/>
      <c r="L99" s="381"/>
    </row>
    <row r="100" spans="2:12" s="377" customFormat="1">
      <c r="B100" s="375"/>
      <c r="C100" s="376"/>
      <c r="G100" s="378"/>
      <c r="H100" s="378"/>
      <c r="J100" s="379"/>
      <c r="K100" s="380"/>
      <c r="L100" s="381"/>
    </row>
    <row r="101" spans="2:12" s="377" customFormat="1">
      <c r="B101" s="375"/>
      <c r="C101" s="376"/>
      <c r="G101" s="378"/>
      <c r="H101" s="378"/>
      <c r="J101" s="379"/>
      <c r="K101" s="380"/>
      <c r="L101" s="381"/>
    </row>
    <row r="102" spans="2:12" s="377" customFormat="1">
      <c r="B102" s="375"/>
      <c r="C102" s="376"/>
      <c r="G102" s="378"/>
      <c r="H102" s="378"/>
      <c r="J102" s="379"/>
      <c r="K102" s="380"/>
      <c r="L102" s="381"/>
    </row>
    <row r="103" spans="2:12" s="377" customFormat="1">
      <c r="B103" s="375"/>
      <c r="C103" s="376"/>
      <c r="G103" s="378"/>
      <c r="H103" s="378"/>
      <c r="J103" s="379"/>
      <c r="K103" s="380"/>
      <c r="L103" s="381"/>
    </row>
    <row r="104" spans="2:12" s="377" customFormat="1">
      <c r="B104" s="375"/>
      <c r="C104" s="376"/>
      <c r="G104" s="378"/>
      <c r="H104" s="378"/>
      <c r="J104" s="379"/>
      <c r="K104" s="380"/>
      <c r="L104" s="381"/>
    </row>
    <row r="105" spans="2:12" s="377" customFormat="1">
      <c r="B105" s="375"/>
      <c r="C105" s="376"/>
      <c r="G105" s="378"/>
      <c r="H105" s="378"/>
      <c r="J105" s="379"/>
      <c r="K105" s="380"/>
      <c r="L105" s="381"/>
    </row>
    <row r="106" spans="2:12" s="377" customFormat="1">
      <c r="B106" s="375"/>
      <c r="C106" s="376"/>
      <c r="G106" s="378"/>
      <c r="H106" s="378"/>
      <c r="J106" s="379"/>
      <c r="K106" s="380"/>
      <c r="L106" s="381"/>
    </row>
    <row r="107" spans="2:12" s="377" customFormat="1">
      <c r="B107" s="375"/>
      <c r="C107" s="376"/>
      <c r="G107" s="378"/>
      <c r="H107" s="378"/>
      <c r="J107" s="379"/>
      <c r="K107" s="380"/>
      <c r="L107" s="381"/>
    </row>
    <row r="108" spans="2:12" s="377" customFormat="1">
      <c r="B108" s="375"/>
      <c r="C108" s="376"/>
      <c r="G108" s="378"/>
      <c r="H108" s="378"/>
      <c r="J108" s="379"/>
      <c r="K108" s="380"/>
      <c r="L108" s="381"/>
    </row>
    <row r="109" spans="2:12" s="377" customFormat="1">
      <c r="B109" s="375"/>
      <c r="C109" s="376"/>
      <c r="G109" s="378"/>
      <c r="H109" s="378"/>
      <c r="J109" s="379"/>
      <c r="K109" s="380"/>
      <c r="L109" s="381"/>
    </row>
    <row r="110" spans="2:12" s="377" customFormat="1">
      <c r="B110" s="375"/>
      <c r="C110" s="376"/>
      <c r="G110" s="378"/>
      <c r="H110" s="378"/>
      <c r="J110" s="379"/>
      <c r="K110" s="380"/>
      <c r="L110" s="381"/>
    </row>
    <row r="111" spans="2:12" s="377" customFormat="1">
      <c r="B111" s="375"/>
      <c r="C111" s="376"/>
      <c r="G111" s="378"/>
      <c r="H111" s="378"/>
      <c r="J111" s="379"/>
      <c r="K111" s="380"/>
      <c r="L111" s="381"/>
    </row>
    <row r="112" spans="2:12" s="377" customFormat="1">
      <c r="B112" s="375"/>
      <c r="C112" s="376"/>
      <c r="G112" s="378"/>
      <c r="H112" s="378"/>
      <c r="J112" s="379"/>
      <c r="K112" s="380"/>
      <c r="L112" s="381"/>
    </row>
    <row r="113" spans="2:12" s="377" customFormat="1">
      <c r="B113" s="375"/>
      <c r="C113" s="376"/>
      <c r="G113" s="378"/>
      <c r="H113" s="378"/>
      <c r="J113" s="379"/>
      <c r="K113" s="380"/>
      <c r="L113" s="381"/>
    </row>
    <row r="114" spans="2:12" s="377" customFormat="1">
      <c r="B114" s="375"/>
      <c r="C114" s="376"/>
      <c r="G114" s="378"/>
      <c r="H114" s="378"/>
      <c r="J114" s="379"/>
      <c r="K114" s="380"/>
      <c r="L114" s="381"/>
    </row>
    <row r="115" spans="2:12" s="377" customFormat="1">
      <c r="B115" s="375"/>
      <c r="C115" s="376"/>
      <c r="G115" s="378"/>
      <c r="H115" s="378"/>
      <c r="J115" s="379"/>
      <c r="K115" s="380"/>
      <c r="L115" s="381"/>
    </row>
    <row r="116" spans="2:12" s="377" customFormat="1">
      <c r="B116" s="375"/>
      <c r="C116" s="376"/>
      <c r="G116" s="378"/>
      <c r="H116" s="378"/>
      <c r="J116" s="379"/>
      <c r="K116" s="380"/>
      <c r="L116" s="381"/>
    </row>
    <row r="117" spans="2:12" s="377" customFormat="1">
      <c r="B117" s="375"/>
      <c r="C117" s="376"/>
      <c r="G117" s="378"/>
      <c r="H117" s="378"/>
      <c r="J117" s="379"/>
      <c r="K117" s="380"/>
      <c r="L117" s="381"/>
    </row>
    <row r="118" spans="2:12" s="377" customFormat="1">
      <c r="B118" s="375"/>
      <c r="C118" s="376"/>
      <c r="G118" s="378"/>
      <c r="H118" s="378"/>
      <c r="J118" s="379"/>
      <c r="K118" s="380"/>
      <c r="L118" s="381"/>
    </row>
    <row r="119" spans="2:12" s="377" customFormat="1">
      <c r="B119" s="375"/>
      <c r="C119" s="376"/>
      <c r="G119" s="378"/>
      <c r="H119" s="378"/>
      <c r="J119" s="379"/>
      <c r="K119" s="380"/>
      <c r="L119" s="381"/>
    </row>
    <row r="120" spans="2:12" s="377" customFormat="1">
      <c r="B120" s="375"/>
      <c r="C120" s="376"/>
      <c r="G120" s="378"/>
      <c r="H120" s="378"/>
      <c r="J120" s="379"/>
      <c r="K120" s="380"/>
      <c r="L120" s="381"/>
    </row>
    <row r="121" spans="2:12" s="377" customFormat="1">
      <c r="B121" s="375"/>
      <c r="C121" s="376"/>
      <c r="G121" s="378"/>
      <c r="H121" s="378"/>
      <c r="J121" s="379"/>
      <c r="K121" s="380"/>
      <c r="L121" s="381"/>
    </row>
    <row r="122" spans="2:12" s="377" customFormat="1">
      <c r="B122" s="375"/>
      <c r="C122" s="376"/>
      <c r="G122" s="378"/>
      <c r="H122" s="378"/>
      <c r="J122" s="379"/>
      <c r="K122" s="380"/>
      <c r="L122" s="381"/>
    </row>
    <row r="123" spans="2:12" s="377" customFormat="1">
      <c r="B123" s="375"/>
      <c r="C123" s="376"/>
      <c r="G123" s="378"/>
      <c r="H123" s="378"/>
      <c r="J123" s="379"/>
      <c r="K123" s="380"/>
      <c r="L123" s="381"/>
    </row>
    <row r="124" spans="2:12" s="377" customFormat="1">
      <c r="B124" s="375"/>
      <c r="C124" s="376"/>
      <c r="G124" s="378"/>
      <c r="H124" s="378"/>
      <c r="J124" s="379"/>
      <c r="K124" s="380"/>
      <c r="L124" s="381"/>
    </row>
    <row r="125" spans="2:12" s="377" customFormat="1">
      <c r="B125" s="375"/>
      <c r="C125" s="376"/>
      <c r="G125" s="378"/>
      <c r="H125" s="378"/>
      <c r="J125" s="379"/>
      <c r="K125" s="380"/>
      <c r="L125" s="381"/>
    </row>
    <row r="126" spans="2:12" s="377" customFormat="1">
      <c r="B126" s="375"/>
      <c r="C126" s="376"/>
      <c r="G126" s="378"/>
      <c r="H126" s="378"/>
      <c r="J126" s="379"/>
      <c r="K126" s="380"/>
      <c r="L126" s="381"/>
    </row>
    <row r="127" spans="2:12" s="377" customFormat="1">
      <c r="B127" s="375"/>
      <c r="C127" s="376"/>
      <c r="G127" s="378"/>
      <c r="H127" s="378"/>
      <c r="J127" s="379"/>
      <c r="K127" s="380"/>
      <c r="L127" s="381"/>
    </row>
    <row r="128" spans="2:12" s="377" customFormat="1">
      <c r="B128" s="375"/>
      <c r="C128" s="376"/>
      <c r="G128" s="378"/>
      <c r="H128" s="378"/>
      <c r="J128" s="379"/>
      <c r="K128" s="380"/>
      <c r="L128" s="381"/>
    </row>
    <row r="129" spans="2:12" s="377" customFormat="1">
      <c r="B129" s="375"/>
      <c r="C129" s="376"/>
      <c r="G129" s="378"/>
      <c r="H129" s="378"/>
      <c r="J129" s="379"/>
      <c r="K129" s="380"/>
      <c r="L129" s="381"/>
    </row>
    <row r="130" spans="2:12" s="377" customFormat="1">
      <c r="B130" s="375"/>
      <c r="C130" s="376"/>
      <c r="G130" s="378"/>
      <c r="H130" s="378"/>
      <c r="J130" s="379"/>
      <c r="K130" s="380"/>
      <c r="L130" s="381"/>
    </row>
    <row r="131" spans="2:12" s="377" customFormat="1">
      <c r="B131" s="375"/>
      <c r="C131" s="376"/>
      <c r="G131" s="378"/>
      <c r="H131" s="378"/>
      <c r="J131" s="379"/>
      <c r="K131" s="380"/>
      <c r="L131" s="381"/>
    </row>
    <row r="132" spans="2:12" s="377" customFormat="1">
      <c r="B132" s="375"/>
      <c r="C132" s="376"/>
      <c r="G132" s="378"/>
      <c r="H132" s="378"/>
      <c r="J132" s="379"/>
      <c r="K132" s="380"/>
      <c r="L132" s="381"/>
    </row>
    <row r="133" spans="2:12" s="377" customFormat="1">
      <c r="B133" s="375"/>
      <c r="C133" s="376"/>
      <c r="G133" s="378"/>
      <c r="H133" s="378"/>
      <c r="J133" s="379"/>
      <c r="K133" s="380"/>
      <c r="L133" s="381"/>
    </row>
    <row r="134" spans="2:12" s="377" customFormat="1">
      <c r="B134" s="375"/>
      <c r="C134" s="376"/>
      <c r="G134" s="378"/>
      <c r="H134" s="378"/>
      <c r="J134" s="379"/>
      <c r="K134" s="380"/>
      <c r="L134" s="381"/>
    </row>
    <row r="135" spans="2:12" s="377" customFormat="1">
      <c r="B135" s="375"/>
      <c r="C135" s="376"/>
      <c r="G135" s="378"/>
      <c r="H135" s="378"/>
      <c r="J135" s="379"/>
      <c r="K135" s="380"/>
      <c r="L135" s="381"/>
    </row>
    <row r="136" spans="2:12" s="377" customFormat="1">
      <c r="B136" s="375"/>
      <c r="C136" s="376"/>
      <c r="G136" s="378"/>
      <c r="H136" s="378"/>
      <c r="J136" s="379"/>
      <c r="K136" s="380"/>
      <c r="L136" s="381"/>
    </row>
    <row r="137" spans="2:12" s="377" customFormat="1">
      <c r="B137" s="375"/>
      <c r="C137" s="376"/>
      <c r="G137" s="378"/>
      <c r="H137" s="378"/>
      <c r="J137" s="379"/>
      <c r="K137" s="380"/>
      <c r="L137" s="381"/>
    </row>
    <row r="138" spans="2:12" s="377" customFormat="1">
      <c r="B138" s="375"/>
      <c r="C138" s="376"/>
      <c r="G138" s="378"/>
      <c r="H138" s="378"/>
      <c r="J138" s="379"/>
      <c r="K138" s="380"/>
      <c r="L138" s="381"/>
    </row>
    <row r="139" spans="2:12" s="377" customFormat="1">
      <c r="B139" s="375"/>
      <c r="C139" s="376"/>
      <c r="G139" s="378"/>
      <c r="H139" s="378"/>
      <c r="J139" s="379"/>
      <c r="K139" s="380"/>
      <c r="L139" s="381"/>
    </row>
    <row r="140" spans="2:12" s="377" customFormat="1">
      <c r="B140" s="375"/>
      <c r="C140" s="376"/>
      <c r="G140" s="378"/>
      <c r="H140" s="378"/>
      <c r="J140" s="379"/>
      <c r="K140" s="380"/>
      <c r="L140" s="381"/>
    </row>
    <row r="141" spans="2:12" s="377" customFormat="1">
      <c r="B141" s="375"/>
      <c r="C141" s="376"/>
      <c r="G141" s="378"/>
      <c r="H141" s="378"/>
      <c r="J141" s="379"/>
      <c r="K141" s="380"/>
      <c r="L141" s="381"/>
    </row>
    <row r="142" spans="2:12" s="377" customFormat="1">
      <c r="B142" s="375"/>
      <c r="C142" s="376"/>
      <c r="G142" s="378"/>
      <c r="H142" s="378"/>
      <c r="J142" s="379"/>
      <c r="K142" s="380"/>
      <c r="L142" s="381"/>
    </row>
    <row r="143" spans="2:12" s="377" customFormat="1">
      <c r="B143" s="375"/>
      <c r="C143" s="376"/>
      <c r="G143" s="378"/>
      <c r="H143" s="378"/>
      <c r="J143" s="379"/>
      <c r="K143" s="380"/>
      <c r="L143" s="381"/>
    </row>
    <row r="144" spans="2:12" s="377" customFormat="1">
      <c r="B144" s="375"/>
      <c r="C144" s="376"/>
      <c r="G144" s="378"/>
      <c r="H144" s="378"/>
      <c r="J144" s="379"/>
      <c r="K144" s="380"/>
      <c r="L144" s="381"/>
    </row>
    <row r="145" spans="2:12" s="377" customFormat="1">
      <c r="B145" s="375"/>
      <c r="C145" s="376"/>
      <c r="G145" s="378"/>
      <c r="H145" s="378"/>
      <c r="J145" s="379"/>
      <c r="K145" s="380"/>
      <c r="L145" s="381"/>
    </row>
    <row r="146" spans="2:12" s="377" customFormat="1">
      <c r="B146" s="375"/>
      <c r="C146" s="376"/>
      <c r="G146" s="378"/>
      <c r="H146" s="378"/>
      <c r="J146" s="379"/>
      <c r="K146" s="380"/>
      <c r="L146" s="381"/>
    </row>
    <row r="147" spans="2:12" s="377" customFormat="1">
      <c r="B147" s="375"/>
      <c r="C147" s="376"/>
      <c r="G147" s="378"/>
      <c r="H147" s="378"/>
      <c r="J147" s="379"/>
      <c r="K147" s="380"/>
      <c r="L147" s="381"/>
    </row>
    <row r="148" spans="2:12" s="377" customFormat="1">
      <c r="B148" s="375"/>
      <c r="C148" s="376"/>
      <c r="G148" s="378"/>
      <c r="H148" s="378"/>
      <c r="J148" s="379"/>
      <c r="K148" s="380"/>
      <c r="L148" s="381"/>
    </row>
    <row r="149" spans="2:12" s="377" customFormat="1">
      <c r="B149" s="375"/>
      <c r="C149" s="376"/>
      <c r="G149" s="378"/>
      <c r="H149" s="378"/>
      <c r="J149" s="379"/>
      <c r="K149" s="380"/>
      <c r="L149" s="381"/>
    </row>
    <row r="150" spans="2:12" s="377" customFormat="1">
      <c r="B150" s="375"/>
      <c r="C150" s="376"/>
      <c r="G150" s="378"/>
      <c r="H150" s="378"/>
      <c r="J150" s="379"/>
      <c r="K150" s="380"/>
      <c r="L150" s="381"/>
    </row>
    <row r="151" spans="2:12" s="377" customFormat="1">
      <c r="B151" s="375"/>
      <c r="C151" s="376"/>
      <c r="G151" s="378"/>
      <c r="H151" s="378"/>
      <c r="J151" s="379"/>
      <c r="K151" s="380"/>
      <c r="L151" s="381"/>
    </row>
    <row r="152" spans="2:12" s="377" customFormat="1">
      <c r="B152" s="375"/>
      <c r="C152" s="376"/>
      <c r="G152" s="378"/>
      <c r="H152" s="378"/>
      <c r="J152" s="379"/>
      <c r="K152" s="380"/>
      <c r="L152" s="381"/>
    </row>
    <row r="153" spans="2:12" s="377" customFormat="1">
      <c r="B153" s="375"/>
      <c r="C153" s="376"/>
      <c r="G153" s="378"/>
      <c r="H153" s="378"/>
      <c r="J153" s="379"/>
      <c r="K153" s="380"/>
      <c r="L153" s="381"/>
    </row>
    <row r="154" spans="2:12" s="377" customFormat="1">
      <c r="B154" s="375"/>
      <c r="C154" s="376"/>
      <c r="G154" s="378"/>
      <c r="H154" s="378"/>
      <c r="J154" s="379"/>
      <c r="K154" s="380"/>
      <c r="L154" s="381"/>
    </row>
    <row r="155" spans="2:12" s="377" customFormat="1">
      <c r="B155" s="375"/>
      <c r="C155" s="376"/>
      <c r="G155" s="378"/>
      <c r="H155" s="378"/>
      <c r="J155" s="379"/>
      <c r="K155" s="380"/>
      <c r="L155" s="381"/>
    </row>
    <row r="156" spans="2:12" s="377" customFormat="1">
      <c r="B156" s="375"/>
      <c r="C156" s="376"/>
      <c r="G156" s="378"/>
      <c r="H156" s="378"/>
      <c r="J156" s="379"/>
      <c r="K156" s="380"/>
      <c r="L156" s="381"/>
    </row>
    <row r="157" spans="2:12" s="377" customFormat="1">
      <c r="B157" s="375"/>
      <c r="C157" s="376"/>
      <c r="G157" s="378"/>
      <c r="H157" s="378"/>
      <c r="J157" s="379"/>
      <c r="K157" s="380"/>
      <c r="L157" s="381"/>
    </row>
    <row r="158" spans="2:12" s="377" customFormat="1">
      <c r="B158" s="375"/>
      <c r="C158" s="376"/>
      <c r="G158" s="378"/>
      <c r="H158" s="378"/>
      <c r="J158" s="379"/>
      <c r="K158" s="380"/>
      <c r="L158" s="381"/>
    </row>
    <row r="159" spans="2:12" s="377" customFormat="1">
      <c r="B159" s="375"/>
      <c r="C159" s="376"/>
      <c r="G159" s="378"/>
      <c r="H159" s="378"/>
      <c r="J159" s="379"/>
      <c r="K159" s="380"/>
      <c r="L159" s="381"/>
    </row>
    <row r="160" spans="2:12" s="377" customFormat="1">
      <c r="B160" s="375"/>
      <c r="C160" s="376"/>
      <c r="G160" s="378"/>
      <c r="H160" s="378"/>
      <c r="J160" s="379"/>
      <c r="K160" s="380"/>
      <c r="L160" s="381"/>
    </row>
    <row r="161" spans="2:12" s="377" customFormat="1">
      <c r="B161" s="375"/>
      <c r="C161" s="376"/>
      <c r="G161" s="378"/>
      <c r="H161" s="378"/>
      <c r="J161" s="379"/>
      <c r="K161" s="380"/>
      <c r="L161" s="381"/>
    </row>
    <row r="162" spans="2:12" s="377" customFormat="1">
      <c r="B162" s="375"/>
      <c r="C162" s="376"/>
      <c r="G162" s="378"/>
      <c r="H162" s="378"/>
      <c r="J162" s="379"/>
      <c r="K162" s="380"/>
      <c r="L162" s="381"/>
    </row>
    <row r="163" spans="2:12" s="377" customFormat="1">
      <c r="B163" s="375"/>
      <c r="C163" s="376"/>
      <c r="G163" s="378"/>
      <c r="H163" s="378"/>
      <c r="J163" s="379"/>
      <c r="K163" s="380"/>
      <c r="L163" s="381"/>
    </row>
    <row r="164" spans="2:12" s="377" customFormat="1">
      <c r="B164" s="375"/>
      <c r="C164" s="376"/>
      <c r="G164" s="378"/>
      <c r="H164" s="378"/>
      <c r="J164" s="379"/>
      <c r="K164" s="380"/>
      <c r="L164" s="381"/>
    </row>
    <row r="165" spans="2:12" s="377" customFormat="1">
      <c r="B165" s="375"/>
      <c r="C165" s="376"/>
      <c r="G165" s="378"/>
      <c r="H165" s="378"/>
      <c r="J165" s="379"/>
      <c r="K165" s="380"/>
      <c r="L165" s="381"/>
    </row>
    <row r="166" spans="2:12" s="377" customFormat="1">
      <c r="B166" s="375"/>
      <c r="C166" s="376"/>
      <c r="G166" s="378"/>
      <c r="H166" s="378"/>
      <c r="J166" s="379"/>
      <c r="K166" s="380"/>
      <c r="L166" s="381"/>
    </row>
    <row r="167" spans="2:12" s="377" customFormat="1">
      <c r="B167" s="375"/>
      <c r="C167" s="376"/>
      <c r="G167" s="378"/>
      <c r="H167" s="378"/>
      <c r="J167" s="379"/>
      <c r="K167" s="380"/>
      <c r="L167" s="381"/>
    </row>
    <row r="168" spans="2:12" s="377" customFormat="1">
      <c r="B168" s="375"/>
      <c r="C168" s="376"/>
      <c r="G168" s="378"/>
      <c r="H168" s="378"/>
      <c r="J168" s="379"/>
      <c r="K168" s="380"/>
      <c r="L168" s="381"/>
    </row>
    <row r="169" spans="2:12" s="377" customFormat="1">
      <c r="B169" s="375"/>
      <c r="C169" s="376"/>
      <c r="G169" s="378"/>
      <c r="H169" s="378"/>
      <c r="J169" s="379"/>
      <c r="K169" s="380"/>
      <c r="L169" s="381"/>
    </row>
    <row r="170" spans="2:12" s="377" customFormat="1">
      <c r="B170" s="375"/>
      <c r="C170" s="376"/>
      <c r="G170" s="378"/>
      <c r="H170" s="378"/>
      <c r="J170" s="379"/>
      <c r="K170" s="380"/>
      <c r="L170" s="381"/>
    </row>
    <row r="171" spans="2:12" s="377" customFormat="1">
      <c r="B171" s="375"/>
      <c r="C171" s="376"/>
      <c r="G171" s="378"/>
      <c r="H171" s="378"/>
      <c r="J171" s="379"/>
      <c r="K171" s="380"/>
      <c r="L171" s="381"/>
    </row>
    <row r="172" spans="2:12" s="377" customFormat="1">
      <c r="B172" s="375"/>
      <c r="C172" s="376"/>
      <c r="G172" s="378"/>
      <c r="H172" s="378"/>
      <c r="J172" s="379"/>
      <c r="K172" s="380"/>
      <c r="L172" s="381"/>
    </row>
    <row r="173" spans="2:12" s="377" customFormat="1">
      <c r="B173" s="375"/>
      <c r="C173" s="376"/>
      <c r="G173" s="378"/>
      <c r="H173" s="378"/>
      <c r="J173" s="379"/>
      <c r="K173" s="380"/>
      <c r="L173" s="381"/>
    </row>
    <row r="174" spans="2:12" s="377" customFormat="1">
      <c r="B174" s="375"/>
      <c r="C174" s="376"/>
      <c r="G174" s="378"/>
      <c r="H174" s="378"/>
      <c r="J174" s="379"/>
      <c r="K174" s="380"/>
      <c r="L174" s="381"/>
    </row>
    <row r="175" spans="2:12" s="377" customFormat="1">
      <c r="B175" s="375"/>
      <c r="C175" s="376"/>
      <c r="G175" s="378"/>
      <c r="H175" s="378"/>
      <c r="J175" s="379"/>
      <c r="K175" s="380"/>
      <c r="L175" s="381"/>
    </row>
    <row r="176" spans="2:12" s="377" customFormat="1">
      <c r="B176" s="375"/>
      <c r="C176" s="376"/>
      <c r="G176" s="378"/>
      <c r="H176" s="378"/>
      <c r="J176" s="379"/>
      <c r="K176" s="380"/>
      <c r="L176" s="381"/>
    </row>
    <row r="177" spans="2:12" s="377" customFormat="1">
      <c r="B177" s="375"/>
      <c r="C177" s="376"/>
      <c r="G177" s="378"/>
      <c r="H177" s="378"/>
      <c r="J177" s="379"/>
      <c r="K177" s="380"/>
      <c r="L177" s="381"/>
    </row>
    <row r="178" spans="2:12" s="377" customFormat="1">
      <c r="B178" s="375"/>
      <c r="C178" s="376"/>
      <c r="G178" s="378"/>
      <c r="H178" s="378"/>
      <c r="J178" s="379"/>
      <c r="K178" s="380"/>
      <c r="L178" s="381"/>
    </row>
    <row r="179" spans="2:12" s="377" customFormat="1">
      <c r="B179" s="375"/>
      <c r="C179" s="376"/>
      <c r="G179" s="378"/>
      <c r="H179" s="378"/>
      <c r="J179" s="379"/>
      <c r="K179" s="380"/>
      <c r="L179" s="381"/>
    </row>
    <row r="180" spans="2:12" s="377" customFormat="1">
      <c r="B180" s="375"/>
      <c r="C180" s="376"/>
      <c r="G180" s="378"/>
      <c r="H180" s="378"/>
      <c r="J180" s="379"/>
      <c r="K180" s="380"/>
      <c r="L180" s="381"/>
    </row>
    <row r="181" spans="2:12" s="377" customFormat="1">
      <c r="B181" s="375"/>
      <c r="C181" s="376"/>
      <c r="G181" s="378"/>
      <c r="H181" s="378"/>
      <c r="J181" s="379"/>
      <c r="K181" s="380"/>
      <c r="L181" s="381"/>
    </row>
    <row r="182" spans="2:12" s="377" customFormat="1">
      <c r="B182" s="375"/>
      <c r="C182" s="376"/>
      <c r="G182" s="378"/>
      <c r="H182" s="378"/>
      <c r="J182" s="379"/>
      <c r="K182" s="380"/>
      <c r="L182" s="381"/>
    </row>
    <row r="183" spans="2:12" s="377" customFormat="1">
      <c r="B183" s="375"/>
      <c r="C183" s="376"/>
      <c r="G183" s="378"/>
      <c r="H183" s="378"/>
      <c r="J183" s="379"/>
      <c r="K183" s="380"/>
      <c r="L183" s="381"/>
    </row>
    <row r="184" spans="2:12" s="377" customFormat="1">
      <c r="B184" s="375"/>
      <c r="C184" s="376"/>
      <c r="G184" s="378"/>
      <c r="H184" s="378"/>
      <c r="J184" s="379"/>
      <c r="K184" s="380"/>
      <c r="L184" s="381"/>
    </row>
    <row r="185" spans="2:12" s="377" customFormat="1">
      <c r="B185" s="375"/>
      <c r="C185" s="376"/>
      <c r="G185" s="378"/>
      <c r="H185" s="378"/>
      <c r="J185" s="379"/>
      <c r="K185" s="380"/>
      <c r="L185" s="381"/>
    </row>
    <row r="186" spans="2:12" s="377" customFormat="1">
      <c r="B186" s="375"/>
      <c r="C186" s="376"/>
      <c r="G186" s="378"/>
      <c r="H186" s="378"/>
      <c r="J186" s="379"/>
      <c r="K186" s="380"/>
      <c r="L186" s="381"/>
    </row>
    <row r="187" spans="2:12" s="377" customFormat="1">
      <c r="B187" s="375"/>
      <c r="C187" s="376"/>
      <c r="G187" s="378"/>
      <c r="H187" s="378"/>
      <c r="J187" s="379"/>
      <c r="K187" s="380"/>
      <c r="L187" s="381"/>
    </row>
    <row r="188" spans="2:12" s="377" customFormat="1">
      <c r="B188" s="375"/>
      <c r="C188" s="376"/>
      <c r="G188" s="378"/>
      <c r="H188" s="378"/>
      <c r="J188" s="379"/>
      <c r="K188" s="380"/>
      <c r="L188" s="381"/>
    </row>
    <row r="189" spans="2:12" s="377" customFormat="1">
      <c r="B189" s="375"/>
      <c r="C189" s="376"/>
      <c r="G189" s="378"/>
      <c r="H189" s="378"/>
      <c r="J189" s="379"/>
      <c r="K189" s="380"/>
      <c r="L189" s="381"/>
    </row>
    <row r="190" spans="2:12" s="377" customFormat="1">
      <c r="B190" s="375"/>
      <c r="C190" s="376"/>
      <c r="G190" s="378"/>
      <c r="H190" s="378"/>
      <c r="J190" s="379"/>
      <c r="K190" s="380"/>
      <c r="L190" s="381"/>
    </row>
    <row r="191" spans="2:12" s="377" customFormat="1">
      <c r="B191" s="375"/>
      <c r="C191" s="376"/>
      <c r="G191" s="378"/>
      <c r="H191" s="378"/>
      <c r="J191" s="379"/>
      <c r="K191" s="380"/>
      <c r="L191" s="381"/>
    </row>
    <row r="192" spans="2:12" s="377" customFormat="1">
      <c r="B192" s="375"/>
      <c r="C192" s="376"/>
      <c r="G192" s="378"/>
      <c r="H192" s="378"/>
      <c r="J192" s="379"/>
      <c r="K192" s="380"/>
      <c r="L192" s="381"/>
    </row>
    <row r="193" spans="2:12" s="377" customFormat="1">
      <c r="B193" s="375"/>
      <c r="C193" s="376"/>
      <c r="G193" s="378"/>
      <c r="H193" s="378"/>
      <c r="J193" s="379"/>
      <c r="K193" s="380"/>
      <c r="L193" s="381"/>
    </row>
    <row r="194" spans="2:12" s="377" customFormat="1">
      <c r="B194" s="375"/>
      <c r="C194" s="376"/>
      <c r="G194" s="378"/>
      <c r="H194" s="378"/>
      <c r="J194" s="379"/>
      <c r="K194" s="380"/>
      <c r="L194" s="381"/>
    </row>
    <row r="195" spans="2:12" s="377" customFormat="1">
      <c r="B195" s="375"/>
      <c r="C195" s="376"/>
      <c r="G195" s="378"/>
      <c r="H195" s="378"/>
      <c r="J195" s="379"/>
      <c r="K195" s="380"/>
      <c r="L195" s="381"/>
    </row>
    <row r="196" spans="2:12" s="377" customFormat="1">
      <c r="B196" s="375"/>
      <c r="C196" s="376"/>
      <c r="G196" s="378"/>
      <c r="H196" s="378"/>
      <c r="J196" s="379"/>
      <c r="K196" s="380"/>
      <c r="L196" s="381"/>
    </row>
    <row r="197" spans="2:12" s="377" customFormat="1">
      <c r="B197" s="375"/>
      <c r="C197" s="376"/>
      <c r="G197" s="378"/>
      <c r="H197" s="378"/>
      <c r="J197" s="379"/>
      <c r="K197" s="380"/>
      <c r="L197" s="381"/>
    </row>
    <row r="198" spans="2:12" s="377" customFormat="1">
      <c r="B198" s="375"/>
      <c r="C198" s="376"/>
      <c r="G198" s="378"/>
      <c r="H198" s="378"/>
      <c r="J198" s="379"/>
      <c r="K198" s="380"/>
      <c r="L198" s="381"/>
    </row>
    <row r="199" spans="2:12" s="377" customFormat="1">
      <c r="B199" s="375"/>
      <c r="C199" s="376"/>
      <c r="G199" s="378"/>
      <c r="H199" s="378"/>
      <c r="J199" s="379"/>
      <c r="K199" s="380"/>
      <c r="L199" s="381"/>
    </row>
    <row r="200" spans="2:12" s="377" customFormat="1">
      <c r="B200" s="375"/>
      <c r="C200" s="376"/>
      <c r="G200" s="378"/>
      <c r="H200" s="378"/>
      <c r="J200" s="379"/>
      <c r="K200" s="380"/>
      <c r="L200" s="381"/>
    </row>
    <row r="201" spans="2:12" s="377" customFormat="1">
      <c r="B201" s="375"/>
      <c r="C201" s="376"/>
      <c r="G201" s="378"/>
      <c r="H201" s="378"/>
      <c r="J201" s="379"/>
      <c r="K201" s="380"/>
      <c r="L201" s="381"/>
    </row>
    <row r="202" spans="2:12" s="377" customFormat="1">
      <c r="B202" s="375"/>
      <c r="C202" s="376"/>
      <c r="G202" s="378"/>
      <c r="H202" s="378"/>
      <c r="J202" s="379"/>
      <c r="K202" s="380"/>
      <c r="L202" s="381"/>
    </row>
    <row r="203" spans="2:12" s="377" customFormat="1">
      <c r="B203" s="375"/>
      <c r="C203" s="376"/>
      <c r="G203" s="378"/>
      <c r="H203" s="378"/>
      <c r="J203" s="379"/>
      <c r="K203" s="380"/>
      <c r="L203" s="381"/>
    </row>
    <row r="204" spans="2:12" s="377" customFormat="1">
      <c r="B204" s="375"/>
      <c r="C204" s="376"/>
      <c r="G204" s="378"/>
      <c r="H204" s="378"/>
      <c r="J204" s="379"/>
      <c r="K204" s="380"/>
      <c r="L204" s="381"/>
    </row>
    <row r="205" spans="2:12" s="377" customFormat="1">
      <c r="B205" s="375"/>
      <c r="C205" s="376"/>
      <c r="G205" s="378"/>
      <c r="H205" s="378"/>
      <c r="J205" s="379"/>
      <c r="K205" s="380"/>
      <c r="L205" s="381"/>
    </row>
    <row r="206" spans="2:12" s="377" customFormat="1">
      <c r="B206" s="375"/>
      <c r="C206" s="376"/>
      <c r="G206" s="378"/>
      <c r="H206" s="378"/>
      <c r="J206" s="379"/>
      <c r="K206" s="380"/>
      <c r="L206" s="381"/>
    </row>
    <row r="207" spans="2:12" s="377" customFormat="1">
      <c r="B207" s="375"/>
      <c r="C207" s="376"/>
      <c r="G207" s="378"/>
      <c r="H207" s="378"/>
      <c r="J207" s="379"/>
      <c r="K207" s="380"/>
      <c r="L207" s="381"/>
    </row>
    <row r="208" spans="2:12" s="377" customFormat="1">
      <c r="B208" s="375"/>
      <c r="C208" s="376"/>
      <c r="G208" s="378"/>
      <c r="H208" s="378"/>
      <c r="J208" s="379"/>
      <c r="K208" s="380"/>
      <c r="L208" s="381"/>
    </row>
    <row r="209" spans="2:12" s="377" customFormat="1">
      <c r="B209" s="375"/>
      <c r="C209" s="376"/>
      <c r="G209" s="378"/>
      <c r="H209" s="378"/>
      <c r="J209" s="379"/>
      <c r="K209" s="380"/>
      <c r="L209" s="381"/>
    </row>
    <row r="210" spans="2:12" s="377" customFormat="1">
      <c r="B210" s="375"/>
      <c r="C210" s="376"/>
      <c r="G210" s="378"/>
      <c r="H210" s="378"/>
      <c r="J210" s="379"/>
      <c r="K210" s="380"/>
      <c r="L210" s="381"/>
    </row>
    <row r="211" spans="2:12" s="377" customFormat="1">
      <c r="B211" s="375"/>
      <c r="C211" s="376"/>
      <c r="G211" s="378"/>
      <c r="H211" s="378"/>
      <c r="J211" s="379"/>
      <c r="K211" s="380"/>
      <c r="L211" s="381"/>
    </row>
    <row r="212" spans="2:12" s="377" customFormat="1">
      <c r="B212" s="375"/>
      <c r="C212" s="376"/>
      <c r="G212" s="378"/>
      <c r="H212" s="378"/>
      <c r="J212" s="379"/>
      <c r="K212" s="380"/>
      <c r="L212" s="381"/>
    </row>
    <row r="213" spans="2:12" s="377" customFormat="1">
      <c r="B213" s="375"/>
      <c r="C213" s="376"/>
      <c r="G213" s="378"/>
      <c r="H213" s="378"/>
      <c r="J213" s="379"/>
      <c r="K213" s="380"/>
      <c r="L213" s="381"/>
    </row>
    <row r="214" spans="2:12" s="377" customFormat="1">
      <c r="B214" s="375"/>
      <c r="C214" s="376"/>
      <c r="G214" s="378"/>
      <c r="H214" s="378"/>
      <c r="J214" s="379"/>
      <c r="K214" s="380"/>
      <c r="L214" s="381"/>
    </row>
    <row r="215" spans="2:12" s="377" customFormat="1">
      <c r="B215" s="375"/>
      <c r="C215" s="376"/>
      <c r="G215" s="378"/>
      <c r="H215" s="378"/>
      <c r="J215" s="379"/>
      <c r="K215" s="380"/>
      <c r="L215" s="381"/>
    </row>
    <row r="216" spans="2:12" s="377" customFormat="1">
      <c r="B216" s="375"/>
      <c r="C216" s="376"/>
      <c r="G216" s="378"/>
      <c r="H216" s="378"/>
      <c r="J216" s="379"/>
      <c r="K216" s="380"/>
      <c r="L216" s="381"/>
    </row>
    <row r="217" spans="2:12" s="377" customFormat="1">
      <c r="B217" s="375"/>
      <c r="C217" s="376"/>
      <c r="G217" s="378"/>
      <c r="H217" s="378"/>
      <c r="J217" s="379"/>
      <c r="K217" s="380"/>
      <c r="L217" s="381"/>
    </row>
    <row r="218" spans="2:12" s="377" customFormat="1">
      <c r="B218" s="375"/>
      <c r="C218" s="376"/>
      <c r="G218" s="378"/>
      <c r="H218" s="378"/>
      <c r="J218" s="379"/>
      <c r="K218" s="380"/>
      <c r="L218" s="381"/>
    </row>
    <row r="219" spans="2:12" s="377" customFormat="1">
      <c r="B219" s="375"/>
      <c r="C219" s="376"/>
      <c r="G219" s="378"/>
      <c r="H219" s="378"/>
      <c r="J219" s="379"/>
      <c r="K219" s="380"/>
      <c r="L219" s="381"/>
    </row>
    <row r="220" spans="2:12" s="377" customFormat="1">
      <c r="B220" s="375"/>
      <c r="C220" s="376"/>
      <c r="G220" s="378"/>
      <c r="H220" s="378"/>
      <c r="J220" s="379"/>
      <c r="K220" s="380"/>
      <c r="L220" s="381"/>
    </row>
    <row r="221" spans="2:12" s="377" customFormat="1">
      <c r="B221" s="375"/>
      <c r="C221" s="376"/>
      <c r="G221" s="378"/>
      <c r="H221" s="378"/>
      <c r="J221" s="379"/>
      <c r="K221" s="380"/>
      <c r="L221" s="381"/>
    </row>
    <row r="222" spans="2:12" s="377" customFormat="1">
      <c r="B222" s="375"/>
      <c r="C222" s="376"/>
      <c r="G222" s="378"/>
      <c r="H222" s="378"/>
      <c r="J222" s="379"/>
      <c r="K222" s="380"/>
      <c r="L222" s="381"/>
    </row>
    <row r="223" spans="2:12" s="377" customFormat="1">
      <c r="B223" s="375"/>
      <c r="C223" s="376"/>
      <c r="G223" s="378"/>
      <c r="H223" s="378"/>
      <c r="J223" s="379"/>
      <c r="K223" s="380"/>
      <c r="L223" s="381"/>
    </row>
    <row r="224" spans="2:12" s="377" customFormat="1">
      <c r="B224" s="375"/>
      <c r="C224" s="376"/>
      <c r="G224" s="378"/>
      <c r="H224" s="378"/>
      <c r="J224" s="379"/>
      <c r="K224" s="380"/>
      <c r="L224" s="381"/>
    </row>
    <row r="225" spans="2:12" s="377" customFormat="1">
      <c r="B225" s="375"/>
      <c r="C225" s="376"/>
      <c r="G225" s="378"/>
      <c r="H225" s="378"/>
      <c r="J225" s="379"/>
      <c r="K225" s="380"/>
      <c r="L225" s="381"/>
    </row>
    <row r="226" spans="2:12" s="377" customFormat="1">
      <c r="B226" s="375"/>
      <c r="C226" s="376"/>
      <c r="G226" s="378"/>
      <c r="H226" s="378"/>
      <c r="J226" s="379"/>
      <c r="K226" s="380"/>
      <c r="L226" s="381"/>
    </row>
    <row r="227" spans="2:12" s="377" customFormat="1">
      <c r="B227" s="375"/>
      <c r="C227" s="376"/>
      <c r="G227" s="378"/>
      <c r="H227" s="378"/>
      <c r="J227" s="379"/>
      <c r="K227" s="380"/>
      <c r="L227" s="381"/>
    </row>
    <row r="228" spans="2:12" s="377" customFormat="1">
      <c r="B228" s="375"/>
      <c r="C228" s="376"/>
      <c r="G228" s="378"/>
      <c r="H228" s="378"/>
      <c r="J228" s="379"/>
      <c r="K228" s="380"/>
      <c r="L228" s="381"/>
    </row>
    <row r="229" spans="2:12" s="377" customFormat="1">
      <c r="B229" s="375"/>
      <c r="C229" s="376"/>
      <c r="G229" s="378"/>
      <c r="H229" s="378"/>
      <c r="J229" s="379"/>
      <c r="K229" s="380"/>
      <c r="L229" s="381"/>
    </row>
    <row r="230" spans="2:12" s="377" customFormat="1">
      <c r="B230" s="375"/>
      <c r="C230" s="376"/>
      <c r="G230" s="378"/>
      <c r="H230" s="378"/>
      <c r="J230" s="379"/>
      <c r="K230" s="380"/>
      <c r="L230" s="381"/>
    </row>
    <row r="231" spans="2:12" s="377" customFormat="1">
      <c r="B231" s="375"/>
      <c r="C231" s="376"/>
      <c r="G231" s="378"/>
      <c r="H231" s="378"/>
      <c r="J231" s="379"/>
      <c r="K231" s="380"/>
      <c r="L231" s="381"/>
    </row>
    <row r="232" spans="2:12" s="377" customFormat="1">
      <c r="B232" s="375"/>
      <c r="C232" s="376"/>
      <c r="G232" s="378"/>
      <c r="H232" s="378"/>
      <c r="J232" s="379"/>
      <c r="K232" s="380"/>
      <c r="L232" s="381"/>
    </row>
    <row r="233" spans="2:12" s="377" customFormat="1">
      <c r="B233" s="375"/>
      <c r="C233" s="376"/>
      <c r="G233" s="378"/>
      <c r="H233" s="378"/>
      <c r="J233" s="379"/>
      <c r="K233" s="380"/>
      <c r="L233" s="381"/>
    </row>
    <row r="234" spans="2:12" s="377" customFormat="1">
      <c r="B234" s="375"/>
      <c r="C234" s="376"/>
      <c r="G234" s="378"/>
      <c r="H234" s="378"/>
      <c r="J234" s="379"/>
      <c r="K234" s="380"/>
      <c r="L234" s="381"/>
    </row>
    <row r="235" spans="2:12" s="377" customFormat="1">
      <c r="B235" s="375"/>
      <c r="C235" s="376"/>
      <c r="G235" s="378"/>
      <c r="H235" s="378"/>
      <c r="J235" s="379"/>
      <c r="K235" s="380"/>
      <c r="L235" s="381"/>
    </row>
    <row r="236" spans="2:12" s="377" customFormat="1">
      <c r="B236" s="375"/>
      <c r="C236" s="376"/>
      <c r="G236" s="378"/>
      <c r="H236" s="378"/>
      <c r="J236" s="379"/>
      <c r="K236" s="380"/>
      <c r="L236" s="381"/>
    </row>
    <row r="237" spans="2:12" s="377" customFormat="1">
      <c r="B237" s="375"/>
      <c r="C237" s="376"/>
      <c r="G237" s="378"/>
      <c r="H237" s="378"/>
      <c r="J237" s="379"/>
      <c r="K237" s="380"/>
      <c r="L237" s="381"/>
    </row>
    <row r="238" spans="2:12" s="377" customFormat="1">
      <c r="B238" s="375"/>
      <c r="C238" s="376"/>
      <c r="G238" s="378"/>
      <c r="H238" s="378"/>
      <c r="J238" s="379"/>
      <c r="K238" s="380"/>
      <c r="L238" s="381"/>
    </row>
    <row r="239" spans="2:12" s="377" customFormat="1">
      <c r="B239" s="375"/>
      <c r="C239" s="376"/>
      <c r="G239" s="378"/>
      <c r="H239" s="378"/>
      <c r="J239" s="379"/>
      <c r="K239" s="380"/>
      <c r="L239" s="381"/>
    </row>
    <row r="240" spans="2:12" s="377" customFormat="1">
      <c r="B240" s="375"/>
      <c r="C240" s="376"/>
      <c r="G240" s="378"/>
      <c r="H240" s="378"/>
      <c r="J240" s="379"/>
      <c r="K240" s="380"/>
      <c r="L240" s="381"/>
    </row>
    <row r="241" spans="2:12" s="377" customFormat="1">
      <c r="B241" s="375"/>
      <c r="C241" s="376"/>
      <c r="G241" s="378"/>
      <c r="H241" s="378"/>
      <c r="J241" s="379"/>
      <c r="K241" s="380"/>
      <c r="L241" s="381"/>
    </row>
    <row r="242" spans="2:12" s="377" customFormat="1">
      <c r="B242" s="375"/>
      <c r="C242" s="376"/>
      <c r="G242" s="378"/>
      <c r="H242" s="378"/>
      <c r="J242" s="379"/>
      <c r="K242" s="380"/>
      <c r="L242" s="381"/>
    </row>
    <row r="243" spans="2:12" s="377" customFormat="1">
      <c r="B243" s="375"/>
      <c r="C243" s="376"/>
      <c r="G243" s="378"/>
      <c r="H243" s="378"/>
      <c r="J243" s="379"/>
      <c r="K243" s="380"/>
      <c r="L243" s="381"/>
    </row>
    <row r="244" spans="2:12" s="377" customFormat="1">
      <c r="B244" s="375"/>
      <c r="C244" s="376"/>
      <c r="G244" s="378"/>
      <c r="H244" s="378"/>
      <c r="J244" s="379"/>
      <c r="K244" s="380"/>
      <c r="L244" s="381"/>
    </row>
    <row r="245" spans="2:12" s="377" customFormat="1">
      <c r="B245" s="375"/>
      <c r="C245" s="376"/>
      <c r="G245" s="378"/>
      <c r="H245" s="378"/>
      <c r="J245" s="379"/>
      <c r="K245" s="380"/>
      <c r="L245" s="381"/>
    </row>
    <row r="246" spans="2:12" s="377" customFormat="1">
      <c r="B246" s="375"/>
      <c r="C246" s="376"/>
      <c r="G246" s="378"/>
      <c r="H246" s="378"/>
      <c r="J246" s="379"/>
      <c r="K246" s="380"/>
      <c r="L246" s="381"/>
    </row>
    <row r="247" spans="2:12" s="377" customFormat="1">
      <c r="B247" s="375"/>
      <c r="C247" s="376"/>
      <c r="G247" s="378"/>
      <c r="H247" s="378"/>
      <c r="J247" s="379"/>
      <c r="K247" s="380"/>
      <c r="L247" s="381"/>
    </row>
    <row r="248" spans="2:12" s="377" customFormat="1">
      <c r="B248" s="375"/>
      <c r="C248" s="376"/>
      <c r="G248" s="378"/>
      <c r="H248" s="378"/>
      <c r="J248" s="379"/>
      <c r="K248" s="380"/>
      <c r="L248" s="381"/>
    </row>
    <row r="249" spans="2:12" s="377" customFormat="1">
      <c r="B249" s="375"/>
      <c r="C249" s="376"/>
      <c r="G249" s="378"/>
      <c r="H249" s="378"/>
      <c r="J249" s="379"/>
      <c r="K249" s="380"/>
      <c r="L249" s="381"/>
    </row>
    <row r="250" spans="2:12" s="377" customFormat="1">
      <c r="B250" s="375"/>
      <c r="C250" s="376"/>
      <c r="G250" s="378"/>
      <c r="H250" s="378"/>
      <c r="J250" s="379"/>
      <c r="K250" s="380"/>
      <c r="L250" s="381"/>
    </row>
    <row r="251" spans="2:12" s="377" customFormat="1">
      <c r="B251" s="375"/>
      <c r="C251" s="376"/>
      <c r="G251" s="378"/>
      <c r="H251" s="378"/>
      <c r="J251" s="379"/>
      <c r="K251" s="380"/>
      <c r="L251" s="381"/>
    </row>
    <row r="252" spans="2:12" s="377" customFormat="1">
      <c r="B252" s="375"/>
      <c r="C252" s="376"/>
      <c r="G252" s="378"/>
      <c r="H252" s="378"/>
      <c r="J252" s="379"/>
      <c r="K252" s="380"/>
      <c r="L252" s="381"/>
    </row>
    <row r="253" spans="2:12" s="377" customFormat="1">
      <c r="B253" s="375"/>
      <c r="C253" s="376"/>
      <c r="G253" s="378"/>
      <c r="H253" s="378"/>
      <c r="J253" s="379"/>
      <c r="K253" s="380"/>
      <c r="L253" s="381"/>
    </row>
    <row r="254" spans="2:12" s="377" customFormat="1">
      <c r="B254" s="375"/>
      <c r="C254" s="376"/>
      <c r="G254" s="378"/>
      <c r="H254" s="378"/>
      <c r="J254" s="379"/>
      <c r="K254" s="380"/>
      <c r="L254" s="381"/>
    </row>
    <row r="255" spans="2:12" s="377" customFormat="1">
      <c r="B255" s="375"/>
      <c r="C255" s="376"/>
      <c r="G255" s="378"/>
      <c r="H255" s="378"/>
      <c r="J255" s="379"/>
      <c r="K255" s="380"/>
      <c r="L255" s="381"/>
    </row>
    <row r="256" spans="2:12" s="377" customFormat="1">
      <c r="B256" s="375"/>
      <c r="C256" s="376"/>
      <c r="G256" s="378"/>
      <c r="H256" s="378"/>
      <c r="J256" s="379"/>
      <c r="K256" s="380"/>
      <c r="L256" s="381"/>
    </row>
    <row r="257" spans="2:12" s="377" customFormat="1">
      <c r="B257" s="375"/>
      <c r="C257" s="376"/>
      <c r="G257" s="378"/>
      <c r="H257" s="378"/>
      <c r="J257" s="379"/>
      <c r="K257" s="380"/>
      <c r="L257" s="381"/>
    </row>
    <row r="258" spans="2:12" s="377" customFormat="1">
      <c r="B258" s="375"/>
      <c r="C258" s="376"/>
      <c r="G258" s="378"/>
      <c r="H258" s="378"/>
      <c r="J258" s="379"/>
      <c r="K258" s="380"/>
      <c r="L258" s="381"/>
    </row>
    <row r="259" spans="2:12" s="377" customFormat="1">
      <c r="B259" s="375"/>
      <c r="C259" s="376"/>
      <c r="G259" s="378"/>
      <c r="H259" s="378"/>
      <c r="J259" s="379"/>
      <c r="K259" s="380"/>
      <c r="L259" s="381"/>
    </row>
    <row r="260" spans="2:12" s="377" customFormat="1">
      <c r="B260" s="375"/>
      <c r="C260" s="376"/>
      <c r="G260" s="378"/>
      <c r="H260" s="378"/>
      <c r="J260" s="379"/>
      <c r="K260" s="380"/>
      <c r="L260" s="381"/>
    </row>
    <row r="261" spans="2:12" s="377" customFormat="1">
      <c r="B261" s="375"/>
      <c r="C261" s="376"/>
      <c r="G261" s="378"/>
      <c r="H261" s="378"/>
      <c r="J261" s="379"/>
      <c r="K261" s="380"/>
      <c r="L261" s="381"/>
    </row>
    <row r="262" spans="2:12" s="377" customFormat="1">
      <c r="B262" s="375"/>
      <c r="C262" s="376"/>
      <c r="G262" s="378"/>
      <c r="H262" s="378"/>
      <c r="J262" s="379"/>
      <c r="K262" s="380"/>
      <c r="L262" s="381"/>
    </row>
    <row r="263" spans="2:12" s="377" customFormat="1">
      <c r="B263" s="375"/>
      <c r="C263" s="376"/>
      <c r="G263" s="378"/>
      <c r="H263" s="378"/>
      <c r="J263" s="379"/>
      <c r="K263" s="380"/>
      <c r="L263" s="381"/>
    </row>
    <row r="264" spans="2:12" s="377" customFormat="1">
      <c r="B264" s="375"/>
      <c r="C264" s="376"/>
      <c r="G264" s="378"/>
      <c r="H264" s="378"/>
      <c r="J264" s="379"/>
      <c r="K264" s="380"/>
      <c r="L264" s="381"/>
    </row>
    <row r="265" spans="2:12" s="377" customFormat="1">
      <c r="B265" s="375"/>
      <c r="C265" s="376"/>
      <c r="G265" s="378"/>
      <c r="H265" s="378"/>
      <c r="J265" s="379"/>
      <c r="K265" s="380"/>
      <c r="L265" s="381"/>
    </row>
    <row r="266" spans="2:12" s="377" customFormat="1">
      <c r="B266" s="375"/>
      <c r="C266" s="376"/>
      <c r="G266" s="378"/>
      <c r="H266" s="378"/>
      <c r="J266" s="379"/>
      <c r="K266" s="380"/>
      <c r="L266" s="381"/>
    </row>
    <row r="267" spans="2:12" s="377" customFormat="1">
      <c r="B267" s="375"/>
      <c r="C267" s="376"/>
      <c r="G267" s="378"/>
      <c r="H267" s="378"/>
      <c r="J267" s="379"/>
      <c r="K267" s="380"/>
      <c r="L267" s="381"/>
    </row>
    <row r="268" spans="2:12" s="377" customFormat="1">
      <c r="B268" s="375"/>
      <c r="C268" s="376"/>
      <c r="G268" s="378"/>
      <c r="H268" s="378"/>
      <c r="J268" s="379"/>
      <c r="K268" s="380"/>
      <c r="L268" s="381"/>
    </row>
    <row r="269" spans="2:12" s="377" customFormat="1">
      <c r="B269" s="375"/>
      <c r="C269" s="376"/>
      <c r="G269" s="378"/>
      <c r="H269" s="378"/>
      <c r="J269" s="379"/>
      <c r="K269" s="380"/>
      <c r="L269" s="381"/>
    </row>
    <row r="270" spans="2:12" s="377" customFormat="1">
      <c r="B270" s="375"/>
      <c r="C270" s="376"/>
      <c r="G270" s="378"/>
      <c r="H270" s="378"/>
      <c r="J270" s="379"/>
      <c r="K270" s="380"/>
      <c r="L270" s="381"/>
    </row>
    <row r="271" spans="2:12" s="377" customFormat="1">
      <c r="B271" s="375"/>
      <c r="C271" s="376"/>
      <c r="G271" s="378"/>
      <c r="H271" s="378"/>
      <c r="J271" s="379"/>
      <c r="K271" s="380"/>
      <c r="L271" s="381"/>
    </row>
    <row r="272" spans="2:12" s="377" customFormat="1">
      <c r="B272" s="375"/>
      <c r="C272" s="376"/>
      <c r="G272" s="378"/>
      <c r="H272" s="378"/>
      <c r="J272" s="379"/>
      <c r="K272" s="380"/>
      <c r="L272" s="381"/>
    </row>
    <row r="273" spans="2:12" s="377" customFormat="1">
      <c r="B273" s="375"/>
      <c r="C273" s="376"/>
      <c r="G273" s="378"/>
      <c r="H273" s="378"/>
      <c r="J273" s="379"/>
      <c r="K273" s="380"/>
      <c r="L273" s="381"/>
    </row>
    <row r="274" spans="2:12" s="377" customFormat="1">
      <c r="B274" s="375"/>
      <c r="C274" s="376"/>
      <c r="G274" s="378"/>
      <c r="H274" s="378"/>
      <c r="J274" s="379"/>
      <c r="K274" s="380"/>
      <c r="L274" s="381"/>
    </row>
    <row r="275" spans="2:12" s="377" customFormat="1">
      <c r="B275" s="375"/>
      <c r="C275" s="376"/>
      <c r="G275" s="378"/>
      <c r="H275" s="378"/>
      <c r="J275" s="379"/>
      <c r="K275" s="380"/>
      <c r="L275" s="381"/>
    </row>
    <row r="276" spans="2:12" s="377" customFormat="1">
      <c r="B276" s="375"/>
      <c r="C276" s="376"/>
      <c r="G276" s="378"/>
      <c r="H276" s="378"/>
      <c r="J276" s="379"/>
      <c r="K276" s="380"/>
      <c r="L276" s="381"/>
    </row>
    <row r="277" spans="2:12" s="377" customFormat="1">
      <c r="B277" s="375"/>
      <c r="C277" s="376"/>
      <c r="G277" s="378"/>
      <c r="H277" s="378"/>
      <c r="J277" s="379"/>
      <c r="K277" s="380"/>
      <c r="L277" s="381"/>
    </row>
    <row r="278" spans="2:12" s="377" customFormat="1">
      <c r="B278" s="375"/>
      <c r="C278" s="376"/>
      <c r="G278" s="378"/>
      <c r="H278" s="378"/>
      <c r="J278" s="379"/>
      <c r="K278" s="380"/>
      <c r="L278" s="381"/>
    </row>
    <row r="279" spans="2:12" s="377" customFormat="1">
      <c r="B279" s="375"/>
      <c r="C279" s="376"/>
      <c r="G279" s="378"/>
      <c r="H279" s="378"/>
      <c r="J279" s="379"/>
      <c r="K279" s="380"/>
      <c r="L279" s="381"/>
    </row>
    <row r="280" spans="2:12" s="377" customFormat="1">
      <c r="B280" s="375"/>
      <c r="C280" s="376"/>
      <c r="G280" s="378"/>
      <c r="H280" s="378"/>
      <c r="J280" s="379"/>
      <c r="K280" s="380"/>
      <c r="L280" s="381"/>
    </row>
    <row r="281" spans="2:12" s="377" customFormat="1">
      <c r="B281" s="375"/>
      <c r="C281" s="376"/>
      <c r="G281" s="378"/>
      <c r="H281" s="378"/>
      <c r="J281" s="379"/>
      <c r="K281" s="380"/>
      <c r="L281" s="381"/>
    </row>
    <row r="282" spans="2:12" s="377" customFormat="1">
      <c r="B282" s="375"/>
      <c r="C282" s="376"/>
      <c r="G282" s="378"/>
      <c r="H282" s="378"/>
      <c r="J282" s="379"/>
      <c r="K282" s="380"/>
      <c r="L282" s="381"/>
    </row>
    <row r="283" spans="2:12" s="377" customFormat="1">
      <c r="B283" s="375"/>
      <c r="C283" s="376"/>
      <c r="G283" s="378"/>
      <c r="H283" s="378"/>
      <c r="J283" s="379"/>
      <c r="K283" s="380"/>
      <c r="L283" s="381"/>
    </row>
    <row r="284" spans="2:12" s="377" customFormat="1">
      <c r="B284" s="375"/>
      <c r="C284" s="376"/>
      <c r="G284" s="378"/>
      <c r="H284" s="378"/>
      <c r="J284" s="379"/>
      <c r="K284" s="380"/>
      <c r="L284" s="381"/>
    </row>
    <row r="285" spans="2:12" s="377" customFormat="1">
      <c r="B285" s="375"/>
      <c r="C285" s="376"/>
      <c r="G285" s="378"/>
      <c r="H285" s="378"/>
      <c r="J285" s="379"/>
      <c r="K285" s="380"/>
      <c r="L285" s="381"/>
    </row>
    <row r="286" spans="2:12" s="377" customFormat="1">
      <c r="B286" s="375"/>
      <c r="C286" s="376"/>
      <c r="G286" s="378"/>
      <c r="H286" s="378"/>
      <c r="J286" s="379"/>
      <c r="K286" s="380"/>
      <c r="L286" s="381"/>
    </row>
    <row r="287" spans="2:12" s="377" customFormat="1">
      <c r="B287" s="375"/>
      <c r="C287" s="376"/>
      <c r="G287" s="378"/>
      <c r="H287" s="378"/>
      <c r="J287" s="379"/>
      <c r="K287" s="380"/>
      <c r="L287" s="381"/>
    </row>
    <row r="288" spans="2:12" s="377" customFormat="1">
      <c r="B288" s="375"/>
      <c r="C288" s="376"/>
      <c r="G288" s="378"/>
      <c r="H288" s="378"/>
      <c r="J288" s="379"/>
      <c r="K288" s="380"/>
      <c r="L288" s="381"/>
    </row>
    <row r="289" spans="2:12" s="377" customFormat="1">
      <c r="B289" s="375"/>
      <c r="C289" s="376"/>
      <c r="G289" s="378"/>
      <c r="H289" s="378"/>
      <c r="J289" s="379"/>
      <c r="K289" s="380"/>
      <c r="L289" s="381"/>
    </row>
    <row r="290" spans="2:12" s="377" customFormat="1">
      <c r="B290" s="375"/>
      <c r="C290" s="376"/>
      <c r="G290" s="378"/>
      <c r="H290" s="378"/>
      <c r="J290" s="379"/>
      <c r="K290" s="380"/>
      <c r="L290" s="381"/>
    </row>
    <row r="291" spans="2:12" s="377" customFormat="1">
      <c r="B291" s="375"/>
      <c r="C291" s="376"/>
      <c r="G291" s="378"/>
      <c r="H291" s="378"/>
      <c r="J291" s="379"/>
      <c r="K291" s="380"/>
      <c r="L291" s="381"/>
    </row>
    <row r="292" spans="2:12" s="377" customFormat="1">
      <c r="B292" s="375"/>
      <c r="C292" s="376"/>
      <c r="G292" s="378"/>
      <c r="H292" s="378"/>
      <c r="J292" s="379"/>
      <c r="K292" s="380"/>
      <c r="L292" s="381"/>
    </row>
    <row r="293" spans="2:12" s="377" customFormat="1">
      <c r="B293" s="375"/>
      <c r="C293" s="376"/>
      <c r="G293" s="378"/>
      <c r="H293" s="378"/>
      <c r="J293" s="379"/>
      <c r="K293" s="380"/>
      <c r="L293" s="381"/>
    </row>
    <row r="294" spans="2:12" s="377" customFormat="1">
      <c r="B294" s="375"/>
      <c r="C294" s="376"/>
      <c r="G294" s="378"/>
      <c r="H294" s="378"/>
      <c r="J294" s="379"/>
      <c r="K294" s="380"/>
      <c r="L294" s="381"/>
    </row>
    <row r="295" spans="2:12" s="377" customFormat="1">
      <c r="B295" s="375"/>
      <c r="C295" s="376"/>
      <c r="G295" s="378"/>
      <c r="H295" s="378"/>
      <c r="J295" s="379"/>
      <c r="K295" s="380"/>
      <c r="L295" s="381"/>
    </row>
    <row r="296" spans="2:12" s="377" customFormat="1">
      <c r="B296" s="375"/>
      <c r="C296" s="376"/>
      <c r="G296" s="378"/>
      <c r="H296" s="378"/>
      <c r="J296" s="379"/>
      <c r="K296" s="380"/>
      <c r="L296" s="381"/>
    </row>
    <row r="297" spans="2:12" s="377" customFormat="1">
      <c r="B297" s="375"/>
      <c r="C297" s="376"/>
      <c r="G297" s="378"/>
      <c r="H297" s="378"/>
      <c r="J297" s="379"/>
      <c r="K297" s="380"/>
      <c r="L297" s="381"/>
    </row>
    <row r="298" spans="2:12" s="377" customFormat="1">
      <c r="B298" s="375"/>
      <c r="C298" s="376"/>
      <c r="G298" s="378"/>
      <c r="H298" s="378"/>
      <c r="J298" s="379"/>
      <c r="K298" s="380"/>
      <c r="L298" s="381"/>
    </row>
    <row r="299" spans="2:12" s="377" customFormat="1">
      <c r="B299" s="375"/>
      <c r="C299" s="376"/>
      <c r="G299" s="378"/>
      <c r="H299" s="378"/>
      <c r="J299" s="379"/>
      <c r="K299" s="380"/>
      <c r="L299" s="381"/>
    </row>
    <row r="300" spans="2:12" s="377" customFormat="1">
      <c r="B300" s="375"/>
      <c r="C300" s="376"/>
      <c r="G300" s="378"/>
      <c r="H300" s="378"/>
      <c r="J300" s="379"/>
      <c r="K300" s="380"/>
      <c r="L300" s="381"/>
    </row>
    <row r="301" spans="2:12" s="377" customFormat="1">
      <c r="B301" s="375"/>
      <c r="C301" s="376"/>
      <c r="G301" s="378"/>
      <c r="H301" s="378"/>
      <c r="J301" s="379"/>
      <c r="K301" s="380"/>
      <c r="L301" s="381"/>
    </row>
    <row r="302" spans="2:12" s="377" customFormat="1">
      <c r="B302" s="375"/>
      <c r="C302" s="376"/>
      <c r="G302" s="378"/>
      <c r="H302" s="378"/>
      <c r="J302" s="379"/>
      <c r="K302" s="380"/>
      <c r="L302" s="381"/>
    </row>
    <row r="303" spans="2:12" s="377" customFormat="1">
      <c r="B303" s="375"/>
      <c r="C303" s="376"/>
      <c r="G303" s="378"/>
      <c r="H303" s="378"/>
      <c r="J303" s="379"/>
      <c r="K303" s="380"/>
      <c r="L303" s="381"/>
    </row>
    <row r="304" spans="2:12" s="377" customFormat="1">
      <c r="B304" s="375"/>
      <c r="C304" s="376"/>
      <c r="G304" s="378"/>
      <c r="H304" s="378"/>
      <c r="J304" s="379"/>
      <c r="K304" s="380"/>
      <c r="L304" s="381"/>
    </row>
    <row r="305" spans="2:12" s="377" customFormat="1">
      <c r="B305" s="375"/>
      <c r="C305" s="376"/>
      <c r="G305" s="378"/>
      <c r="H305" s="378"/>
      <c r="J305" s="379"/>
      <c r="K305" s="380"/>
      <c r="L305" s="381"/>
    </row>
    <row r="306" spans="2:12" s="377" customFormat="1">
      <c r="B306" s="375"/>
      <c r="C306" s="376"/>
      <c r="G306" s="378"/>
      <c r="H306" s="378"/>
      <c r="J306" s="379"/>
      <c r="K306" s="380"/>
      <c r="L306" s="381"/>
    </row>
    <row r="307" spans="2:12" s="377" customFormat="1">
      <c r="B307" s="375"/>
      <c r="C307" s="376"/>
      <c r="G307" s="378"/>
      <c r="H307" s="378"/>
      <c r="J307" s="379"/>
      <c r="K307" s="380"/>
      <c r="L307" s="381"/>
    </row>
    <row r="308" spans="2:12" s="377" customFormat="1">
      <c r="B308" s="375"/>
      <c r="C308" s="376"/>
      <c r="G308" s="378"/>
      <c r="H308" s="378"/>
      <c r="J308" s="379"/>
      <c r="K308" s="380"/>
      <c r="L308" s="381"/>
    </row>
    <row r="309" spans="2:12" s="377" customFormat="1">
      <c r="B309" s="375"/>
      <c r="C309" s="376"/>
      <c r="G309" s="378"/>
      <c r="H309" s="378"/>
      <c r="J309" s="379"/>
      <c r="K309" s="380"/>
      <c r="L309" s="381"/>
    </row>
    <row r="310" spans="2:12" s="377" customFormat="1">
      <c r="B310" s="375"/>
      <c r="C310" s="376"/>
      <c r="G310" s="378"/>
      <c r="H310" s="378"/>
      <c r="J310" s="379"/>
      <c r="K310" s="380"/>
      <c r="L310" s="381"/>
    </row>
    <row r="311" spans="2:12" s="377" customFormat="1">
      <c r="B311" s="375"/>
      <c r="C311" s="376"/>
      <c r="G311" s="378"/>
      <c r="H311" s="378"/>
      <c r="J311" s="379"/>
      <c r="K311" s="380"/>
      <c r="L311" s="381"/>
    </row>
    <row r="312" spans="2:12" s="377" customFormat="1">
      <c r="B312" s="375"/>
      <c r="C312" s="376"/>
      <c r="G312" s="378"/>
      <c r="H312" s="378"/>
      <c r="J312" s="379"/>
      <c r="K312" s="380"/>
      <c r="L312" s="381"/>
    </row>
    <row r="313" spans="2:12" s="377" customFormat="1">
      <c r="B313" s="375"/>
      <c r="C313" s="376"/>
      <c r="G313" s="378"/>
      <c r="H313" s="378"/>
      <c r="J313" s="379"/>
      <c r="K313" s="380"/>
      <c r="L313" s="381"/>
    </row>
    <row r="314" spans="2:12" s="377" customFormat="1">
      <c r="B314" s="375"/>
      <c r="C314" s="376"/>
      <c r="G314" s="378"/>
      <c r="H314" s="378"/>
      <c r="J314" s="379"/>
      <c r="K314" s="380"/>
      <c r="L314" s="381"/>
    </row>
    <row r="315" spans="2:12" s="377" customFormat="1">
      <c r="B315" s="375"/>
      <c r="C315" s="376"/>
      <c r="G315" s="378"/>
      <c r="H315" s="378"/>
      <c r="J315" s="379"/>
      <c r="K315" s="380"/>
      <c r="L315" s="381"/>
    </row>
    <row r="316" spans="2:12" s="377" customFormat="1">
      <c r="B316" s="375"/>
      <c r="C316" s="376"/>
      <c r="G316" s="378"/>
      <c r="H316" s="378"/>
      <c r="J316" s="379"/>
      <c r="K316" s="380"/>
      <c r="L316" s="381"/>
    </row>
    <row r="317" spans="2:12" s="377" customFormat="1">
      <c r="B317" s="375"/>
      <c r="C317" s="376"/>
      <c r="G317" s="378"/>
      <c r="H317" s="378"/>
      <c r="J317" s="379"/>
      <c r="K317" s="380"/>
      <c r="L317" s="381"/>
    </row>
    <row r="318" spans="2:12" s="377" customFormat="1">
      <c r="B318" s="375"/>
      <c r="C318" s="376"/>
      <c r="G318" s="378"/>
      <c r="H318" s="378"/>
      <c r="J318" s="379"/>
      <c r="K318" s="380"/>
      <c r="L318" s="381"/>
    </row>
    <row r="319" spans="2:12" s="377" customFormat="1">
      <c r="B319" s="375"/>
      <c r="C319" s="376"/>
      <c r="G319" s="378"/>
      <c r="H319" s="378"/>
      <c r="J319" s="379"/>
      <c r="K319" s="380"/>
      <c r="L319" s="381"/>
    </row>
    <row r="320" spans="2:12" s="377" customFormat="1">
      <c r="B320" s="375"/>
      <c r="C320" s="376"/>
      <c r="G320" s="378"/>
      <c r="H320" s="378"/>
      <c r="J320" s="379"/>
      <c r="K320" s="380"/>
      <c r="L320" s="381"/>
    </row>
    <row r="321" spans="2:12" s="377" customFormat="1">
      <c r="B321" s="375"/>
      <c r="C321" s="376"/>
      <c r="G321" s="378"/>
      <c r="H321" s="378"/>
      <c r="J321" s="379"/>
      <c r="K321" s="380"/>
      <c r="L321" s="381"/>
    </row>
    <row r="322" spans="2:12" s="377" customFormat="1">
      <c r="B322" s="375"/>
      <c r="C322" s="376"/>
      <c r="G322" s="378"/>
      <c r="H322" s="378"/>
      <c r="J322" s="379"/>
      <c r="K322" s="380"/>
      <c r="L322" s="381"/>
    </row>
    <row r="323" spans="2:12" s="377" customFormat="1">
      <c r="B323" s="375"/>
      <c r="C323" s="376"/>
      <c r="G323" s="378"/>
      <c r="H323" s="378"/>
      <c r="J323" s="379"/>
      <c r="K323" s="380"/>
      <c r="L323" s="381"/>
    </row>
    <row r="324" spans="2:12" s="377" customFormat="1">
      <c r="B324" s="375"/>
      <c r="C324" s="376"/>
      <c r="G324" s="378"/>
      <c r="H324" s="378"/>
      <c r="J324" s="379"/>
      <c r="K324" s="380"/>
      <c r="L324" s="381"/>
    </row>
    <row r="325" spans="2:12" s="377" customFormat="1">
      <c r="B325" s="375"/>
      <c r="C325" s="376"/>
      <c r="G325" s="378"/>
      <c r="H325" s="378"/>
      <c r="J325" s="379"/>
      <c r="K325" s="380"/>
      <c r="L325" s="381"/>
    </row>
    <row r="326" spans="2:12" s="377" customFormat="1">
      <c r="B326" s="375"/>
      <c r="C326" s="376"/>
      <c r="G326" s="378"/>
      <c r="H326" s="378"/>
      <c r="J326" s="379"/>
      <c r="K326" s="380"/>
      <c r="L326" s="381"/>
    </row>
    <row r="327" spans="2:12" s="377" customFormat="1">
      <c r="B327" s="375"/>
      <c r="C327" s="376"/>
      <c r="G327" s="378"/>
      <c r="H327" s="378"/>
      <c r="J327" s="379"/>
      <c r="K327" s="380"/>
      <c r="L327" s="381"/>
    </row>
    <row r="328" spans="2:12" s="377" customFormat="1">
      <c r="B328" s="375"/>
      <c r="C328" s="376"/>
      <c r="G328" s="378"/>
      <c r="H328" s="378"/>
      <c r="J328" s="379"/>
      <c r="K328" s="380"/>
      <c r="L328" s="381"/>
    </row>
    <row r="329" spans="2:12" s="377" customFormat="1">
      <c r="B329" s="375"/>
      <c r="C329" s="376"/>
      <c r="G329" s="378"/>
      <c r="H329" s="378"/>
      <c r="J329" s="379"/>
      <c r="K329" s="380"/>
      <c r="L329" s="381"/>
    </row>
    <row r="330" spans="2:12" s="377" customFormat="1">
      <c r="B330" s="375"/>
      <c r="C330" s="376"/>
      <c r="G330" s="378"/>
      <c r="H330" s="378"/>
      <c r="J330" s="379"/>
      <c r="K330" s="380"/>
      <c r="L330" s="381"/>
    </row>
    <row r="331" spans="2:12" s="377" customFormat="1">
      <c r="B331" s="375"/>
      <c r="C331" s="376"/>
      <c r="G331" s="378"/>
      <c r="H331" s="378"/>
      <c r="J331" s="379"/>
      <c r="K331" s="380"/>
      <c r="L331" s="381"/>
    </row>
    <row r="332" spans="2:12" s="377" customFormat="1">
      <c r="B332" s="375"/>
      <c r="C332" s="376"/>
      <c r="G332" s="378"/>
      <c r="H332" s="378"/>
      <c r="J332" s="379"/>
      <c r="K332" s="380"/>
      <c r="L332" s="381"/>
    </row>
    <row r="333" spans="2:12" s="377" customFormat="1">
      <c r="B333" s="375"/>
      <c r="C333" s="376"/>
      <c r="G333" s="378"/>
      <c r="H333" s="378"/>
      <c r="J333" s="379"/>
      <c r="K333" s="380"/>
      <c r="L333" s="381"/>
    </row>
    <row r="334" spans="2:12" s="377" customFormat="1">
      <c r="B334" s="375"/>
      <c r="C334" s="376"/>
      <c r="G334" s="378"/>
      <c r="H334" s="378"/>
      <c r="J334" s="379"/>
      <c r="K334" s="380"/>
      <c r="L334" s="381"/>
    </row>
    <row r="335" spans="2:12" s="377" customFormat="1">
      <c r="B335" s="375"/>
      <c r="C335" s="376"/>
      <c r="G335" s="378"/>
      <c r="H335" s="378"/>
      <c r="J335" s="379"/>
      <c r="K335" s="380"/>
      <c r="L335" s="381"/>
    </row>
    <row r="336" spans="2:12" s="377" customFormat="1">
      <c r="B336" s="375"/>
      <c r="C336" s="376"/>
      <c r="G336" s="378"/>
      <c r="H336" s="378"/>
      <c r="J336" s="379"/>
      <c r="K336" s="380"/>
      <c r="L336" s="381"/>
    </row>
    <row r="337" spans="2:12" s="377" customFormat="1">
      <c r="B337" s="375"/>
      <c r="C337" s="376"/>
      <c r="G337" s="378"/>
      <c r="H337" s="378"/>
      <c r="J337" s="379"/>
      <c r="K337" s="380"/>
      <c r="L337" s="381"/>
    </row>
    <row r="338" spans="2:12" s="377" customFormat="1">
      <c r="B338" s="375"/>
      <c r="C338" s="376"/>
      <c r="G338" s="378"/>
      <c r="H338" s="378"/>
      <c r="J338" s="379"/>
      <c r="K338" s="380"/>
      <c r="L338" s="381"/>
    </row>
    <row r="339" spans="2:12" s="377" customFormat="1">
      <c r="B339" s="375"/>
      <c r="C339" s="376"/>
      <c r="G339" s="378"/>
      <c r="H339" s="378"/>
      <c r="J339" s="379"/>
      <c r="K339" s="380"/>
      <c r="L339" s="381"/>
    </row>
    <row r="340" spans="2:12" s="377" customFormat="1">
      <c r="B340" s="375"/>
      <c r="C340" s="376"/>
      <c r="G340" s="378"/>
      <c r="H340" s="378"/>
      <c r="J340" s="379"/>
      <c r="K340" s="380"/>
      <c r="L340" s="381"/>
    </row>
    <row r="341" spans="2:12" s="377" customFormat="1">
      <c r="B341" s="375"/>
      <c r="C341" s="376"/>
      <c r="G341" s="378"/>
      <c r="H341" s="378"/>
      <c r="J341" s="379"/>
      <c r="K341" s="380"/>
      <c r="L341" s="381"/>
    </row>
    <row r="342" spans="2:12" s="377" customFormat="1">
      <c r="B342" s="375"/>
      <c r="C342" s="376"/>
      <c r="G342" s="378"/>
      <c r="H342" s="378"/>
      <c r="J342" s="379"/>
      <c r="K342" s="380"/>
      <c r="L342" s="381"/>
    </row>
    <row r="343" spans="2:12" s="377" customFormat="1">
      <c r="B343" s="375"/>
      <c r="C343" s="376"/>
      <c r="G343" s="378"/>
      <c r="H343" s="378"/>
      <c r="J343" s="379"/>
      <c r="K343" s="380"/>
      <c r="L343" s="381"/>
    </row>
    <row r="344" spans="2:12" s="377" customFormat="1">
      <c r="B344" s="375"/>
      <c r="C344" s="376"/>
      <c r="G344" s="378"/>
      <c r="H344" s="378"/>
      <c r="J344" s="379"/>
      <c r="K344" s="380"/>
      <c r="L344" s="381"/>
    </row>
    <row r="345" spans="2:12" s="377" customFormat="1">
      <c r="B345" s="375"/>
      <c r="C345" s="376"/>
      <c r="G345" s="378"/>
      <c r="H345" s="378"/>
      <c r="J345" s="379"/>
      <c r="K345" s="380"/>
      <c r="L345" s="381"/>
    </row>
    <row r="346" spans="2:12" s="377" customFormat="1">
      <c r="B346" s="375"/>
      <c r="C346" s="376"/>
      <c r="G346" s="378"/>
      <c r="H346" s="378"/>
      <c r="J346" s="379"/>
      <c r="K346" s="380"/>
      <c r="L346" s="381"/>
    </row>
    <row r="347" spans="2:12" s="377" customFormat="1">
      <c r="B347" s="375"/>
      <c r="C347" s="376"/>
      <c r="G347" s="378"/>
      <c r="H347" s="378"/>
      <c r="J347" s="379"/>
      <c r="K347" s="380"/>
      <c r="L347" s="381"/>
    </row>
    <row r="348" spans="2:12" s="377" customFormat="1">
      <c r="B348" s="375"/>
      <c r="C348" s="376"/>
      <c r="G348" s="378"/>
      <c r="H348" s="378"/>
      <c r="J348" s="379"/>
      <c r="K348" s="380"/>
      <c r="L348" s="381"/>
    </row>
    <row r="349" spans="2:12" s="377" customFormat="1">
      <c r="B349" s="375"/>
      <c r="C349" s="376"/>
      <c r="G349" s="378"/>
      <c r="H349" s="378"/>
      <c r="J349" s="379"/>
      <c r="K349" s="380"/>
      <c r="L349" s="381"/>
    </row>
    <row r="350" spans="2:12" s="377" customFormat="1">
      <c r="B350" s="375"/>
      <c r="C350" s="376"/>
      <c r="G350" s="378"/>
      <c r="H350" s="378"/>
      <c r="J350" s="379"/>
      <c r="K350" s="380"/>
      <c r="L350" s="381"/>
    </row>
    <row r="351" spans="2:12" s="377" customFormat="1">
      <c r="B351" s="375"/>
      <c r="C351" s="376"/>
      <c r="G351" s="378"/>
      <c r="H351" s="378"/>
      <c r="J351" s="379"/>
      <c r="K351" s="380"/>
      <c r="L351" s="381"/>
    </row>
    <row r="352" spans="2:12" s="377" customFormat="1">
      <c r="B352" s="375"/>
      <c r="C352" s="376"/>
      <c r="G352" s="378"/>
      <c r="H352" s="378"/>
      <c r="J352" s="379"/>
      <c r="K352" s="380"/>
      <c r="L352" s="381"/>
    </row>
    <row r="353" spans="2:12" s="377" customFormat="1">
      <c r="B353" s="375"/>
      <c r="C353" s="376"/>
      <c r="G353" s="378"/>
      <c r="H353" s="378"/>
      <c r="J353" s="379"/>
      <c r="K353" s="380"/>
      <c r="L353" s="381"/>
    </row>
    <row r="354" spans="2:12" s="377" customFormat="1">
      <c r="B354" s="375"/>
      <c r="C354" s="376"/>
      <c r="G354" s="378"/>
      <c r="H354" s="378"/>
      <c r="J354" s="379"/>
      <c r="K354" s="380"/>
      <c r="L354" s="381"/>
    </row>
    <row r="355" spans="2:12" s="377" customFormat="1">
      <c r="B355" s="375"/>
      <c r="C355" s="376"/>
      <c r="G355" s="378"/>
      <c r="H355" s="378"/>
      <c r="J355" s="379"/>
      <c r="K355" s="380"/>
      <c r="L355" s="381"/>
    </row>
    <row r="356" spans="2:12" s="377" customFormat="1">
      <c r="B356" s="375"/>
      <c r="C356" s="376"/>
      <c r="G356" s="378"/>
      <c r="H356" s="378"/>
      <c r="J356" s="379"/>
      <c r="K356" s="380"/>
      <c r="L356" s="381"/>
    </row>
    <row r="357" spans="2:12" s="377" customFormat="1">
      <c r="B357" s="375"/>
      <c r="C357" s="376"/>
      <c r="G357" s="378"/>
      <c r="H357" s="378"/>
      <c r="J357" s="379"/>
      <c r="K357" s="380"/>
      <c r="L357" s="381"/>
    </row>
    <row r="358" spans="2:12" s="377" customFormat="1">
      <c r="B358" s="375"/>
      <c r="C358" s="376"/>
      <c r="G358" s="378"/>
      <c r="H358" s="378"/>
      <c r="J358" s="379"/>
      <c r="K358" s="380"/>
      <c r="L358" s="381"/>
    </row>
    <row r="359" spans="2:12" s="377" customFormat="1">
      <c r="B359" s="375"/>
      <c r="C359" s="376"/>
      <c r="G359" s="378"/>
      <c r="H359" s="378"/>
      <c r="J359" s="379"/>
      <c r="K359" s="380"/>
      <c r="L359" s="381"/>
    </row>
    <row r="360" spans="2:12" s="377" customFormat="1">
      <c r="B360" s="375"/>
      <c r="C360" s="376"/>
      <c r="G360" s="378"/>
      <c r="H360" s="378"/>
      <c r="J360" s="379"/>
      <c r="K360" s="380"/>
      <c r="L360" s="381"/>
    </row>
    <row r="361" spans="2:12" s="377" customFormat="1">
      <c r="B361" s="375"/>
      <c r="C361" s="376"/>
      <c r="G361" s="378"/>
      <c r="H361" s="378"/>
      <c r="J361" s="379"/>
      <c r="K361" s="380"/>
      <c r="L361" s="381"/>
    </row>
    <row r="362" spans="2:12" s="377" customFormat="1">
      <c r="B362" s="375"/>
      <c r="C362" s="376"/>
      <c r="G362" s="378"/>
      <c r="H362" s="378"/>
      <c r="J362" s="379"/>
      <c r="K362" s="380"/>
      <c r="L362" s="381"/>
    </row>
    <row r="363" spans="2:12" s="377" customFormat="1">
      <c r="B363" s="375"/>
      <c r="C363" s="376"/>
      <c r="G363" s="378"/>
      <c r="H363" s="378"/>
      <c r="J363" s="379"/>
      <c r="K363" s="380"/>
      <c r="L363" s="381"/>
    </row>
    <row r="364" spans="2:12" s="377" customFormat="1">
      <c r="B364" s="375"/>
      <c r="C364" s="376"/>
      <c r="G364" s="378"/>
      <c r="H364" s="378"/>
      <c r="J364" s="379"/>
      <c r="K364" s="380"/>
      <c r="L364" s="381"/>
    </row>
    <row r="365" spans="2:12" s="377" customFormat="1">
      <c r="B365" s="375"/>
      <c r="C365" s="376"/>
      <c r="G365" s="378"/>
      <c r="H365" s="378"/>
      <c r="J365" s="379"/>
      <c r="K365" s="380"/>
      <c r="L365" s="381"/>
    </row>
    <row r="366" spans="2:12" s="377" customFormat="1">
      <c r="B366" s="375"/>
      <c r="C366" s="376"/>
      <c r="G366" s="378"/>
      <c r="H366" s="378"/>
      <c r="J366" s="379"/>
      <c r="K366" s="380"/>
      <c r="L366" s="381"/>
    </row>
    <row r="367" spans="2:12" s="377" customFormat="1">
      <c r="B367" s="375"/>
      <c r="C367" s="376"/>
      <c r="G367" s="378"/>
      <c r="H367" s="378"/>
      <c r="J367" s="379"/>
      <c r="K367" s="380"/>
      <c r="L367" s="381"/>
    </row>
    <row r="368" spans="2:12" s="377" customFormat="1">
      <c r="B368" s="375"/>
      <c r="C368" s="376"/>
      <c r="G368" s="378"/>
      <c r="H368" s="378"/>
      <c r="J368" s="379"/>
      <c r="K368" s="380"/>
      <c r="L368" s="381"/>
    </row>
    <row r="369" spans="2:12" s="377" customFormat="1">
      <c r="B369" s="375"/>
      <c r="C369" s="376"/>
      <c r="G369" s="378"/>
      <c r="H369" s="378"/>
      <c r="J369" s="379"/>
      <c r="K369" s="380"/>
      <c r="L369" s="381"/>
    </row>
    <row r="370" spans="2:12" s="377" customFormat="1">
      <c r="B370" s="375"/>
      <c r="C370" s="376"/>
      <c r="G370" s="378"/>
      <c r="H370" s="378"/>
      <c r="J370" s="379"/>
      <c r="K370" s="380"/>
      <c r="L370" s="381"/>
    </row>
    <row r="371" spans="2:12" s="377" customFormat="1">
      <c r="B371" s="375"/>
      <c r="C371" s="376"/>
      <c r="G371" s="378"/>
      <c r="H371" s="378"/>
      <c r="J371" s="379"/>
      <c r="K371" s="380"/>
      <c r="L371" s="381"/>
    </row>
    <row r="372" spans="2:12" s="377" customFormat="1">
      <c r="B372" s="375"/>
      <c r="C372" s="376"/>
      <c r="G372" s="378"/>
      <c r="H372" s="378"/>
      <c r="J372" s="379"/>
      <c r="K372" s="380"/>
      <c r="L372" s="381"/>
    </row>
    <row r="373" spans="2:12" s="377" customFormat="1">
      <c r="B373" s="375"/>
      <c r="C373" s="376"/>
      <c r="G373" s="378"/>
      <c r="H373" s="378"/>
      <c r="J373" s="379"/>
      <c r="K373" s="380"/>
      <c r="L373" s="381"/>
    </row>
    <row r="374" spans="2:12" s="377" customFormat="1">
      <c r="B374" s="375"/>
      <c r="C374" s="376"/>
      <c r="G374" s="378"/>
      <c r="H374" s="378"/>
      <c r="J374" s="379"/>
      <c r="K374" s="380"/>
      <c r="L374" s="381"/>
    </row>
    <row r="375" spans="2:12" s="377" customFormat="1">
      <c r="B375" s="375"/>
      <c r="C375" s="376"/>
      <c r="G375" s="378"/>
      <c r="H375" s="378"/>
      <c r="J375" s="379"/>
      <c r="K375" s="380"/>
      <c r="L375" s="381"/>
    </row>
    <row r="376" spans="2:12" s="377" customFormat="1">
      <c r="B376" s="375"/>
      <c r="C376" s="376"/>
      <c r="G376" s="378"/>
      <c r="H376" s="378"/>
      <c r="J376" s="379"/>
      <c r="K376" s="380"/>
      <c r="L376" s="381"/>
    </row>
    <row r="377" spans="2:12" s="377" customFormat="1">
      <c r="B377" s="375"/>
      <c r="C377" s="376"/>
      <c r="G377" s="378"/>
      <c r="H377" s="378"/>
      <c r="J377" s="379"/>
      <c r="K377" s="380"/>
      <c r="L377" s="381"/>
    </row>
    <row r="378" spans="2:12" s="377" customFormat="1">
      <c r="B378" s="375"/>
      <c r="C378" s="376"/>
      <c r="G378" s="378"/>
      <c r="H378" s="378"/>
      <c r="J378" s="379"/>
      <c r="K378" s="380"/>
      <c r="L378" s="381"/>
    </row>
    <row r="379" spans="2:12" s="377" customFormat="1">
      <c r="B379" s="375"/>
      <c r="C379" s="376"/>
      <c r="G379" s="378"/>
      <c r="H379" s="378"/>
      <c r="J379" s="379"/>
      <c r="K379" s="380"/>
      <c r="L379" s="381"/>
    </row>
    <row r="380" spans="2:12" s="377" customFormat="1">
      <c r="B380" s="375"/>
      <c r="C380" s="376"/>
      <c r="G380" s="378"/>
      <c r="H380" s="378"/>
      <c r="J380" s="379"/>
      <c r="K380" s="380"/>
      <c r="L380" s="381"/>
    </row>
    <row r="381" spans="2:12" s="377" customFormat="1">
      <c r="B381" s="375"/>
      <c r="C381" s="376"/>
      <c r="G381" s="378"/>
      <c r="H381" s="378"/>
      <c r="J381" s="379"/>
      <c r="K381" s="380"/>
      <c r="L381" s="381"/>
    </row>
    <row r="382" spans="2:12" s="377" customFormat="1">
      <c r="B382" s="375"/>
      <c r="C382" s="376"/>
      <c r="G382" s="378"/>
      <c r="H382" s="378"/>
      <c r="J382" s="379"/>
      <c r="K382" s="380"/>
      <c r="L382" s="381"/>
    </row>
    <row r="383" spans="2:12" s="377" customFormat="1">
      <c r="B383" s="375"/>
      <c r="C383" s="376"/>
      <c r="G383" s="378"/>
      <c r="H383" s="378"/>
      <c r="J383" s="379"/>
      <c r="K383" s="380"/>
      <c r="L383" s="381"/>
    </row>
    <row r="384" spans="2:12" s="377" customFormat="1">
      <c r="B384" s="375"/>
      <c r="C384" s="376"/>
      <c r="G384" s="378"/>
      <c r="H384" s="378"/>
      <c r="J384" s="379"/>
      <c r="K384" s="380"/>
      <c r="L384" s="381"/>
    </row>
    <row r="385" spans="2:12" s="377" customFormat="1">
      <c r="B385" s="375"/>
      <c r="C385" s="376"/>
      <c r="G385" s="378"/>
      <c r="H385" s="378"/>
      <c r="J385" s="379"/>
      <c r="K385" s="380"/>
      <c r="L385" s="381"/>
    </row>
    <row r="386" spans="2:12" s="377" customFormat="1">
      <c r="B386" s="375"/>
      <c r="C386" s="376"/>
      <c r="G386" s="378"/>
      <c r="H386" s="378"/>
      <c r="J386" s="379"/>
      <c r="K386" s="380"/>
      <c r="L386" s="381"/>
    </row>
    <row r="387" spans="2:12" s="377" customFormat="1">
      <c r="B387" s="375"/>
      <c r="C387" s="376"/>
      <c r="G387" s="378"/>
      <c r="H387" s="378"/>
      <c r="J387" s="379"/>
      <c r="K387" s="380"/>
      <c r="L387" s="381"/>
    </row>
    <row r="388" spans="2:12" s="377" customFormat="1">
      <c r="B388" s="375"/>
      <c r="C388" s="376"/>
      <c r="G388" s="378"/>
      <c r="H388" s="378"/>
      <c r="J388" s="379"/>
      <c r="K388" s="380"/>
      <c r="L388" s="381"/>
    </row>
    <row r="389" spans="2:12" s="377" customFormat="1">
      <c r="B389" s="375"/>
      <c r="C389" s="376"/>
      <c r="G389" s="378"/>
      <c r="H389" s="378"/>
      <c r="J389" s="379"/>
      <c r="K389" s="380"/>
      <c r="L389" s="381"/>
    </row>
    <row r="390" spans="2:12" s="377" customFormat="1">
      <c r="B390" s="375"/>
      <c r="C390" s="376"/>
      <c r="G390" s="378"/>
      <c r="H390" s="378"/>
      <c r="J390" s="379"/>
      <c r="K390" s="380"/>
      <c r="L390" s="381"/>
    </row>
    <row r="391" spans="2:12" s="377" customFormat="1">
      <c r="B391" s="375"/>
      <c r="C391" s="376"/>
      <c r="G391" s="378"/>
      <c r="H391" s="378"/>
      <c r="J391" s="379"/>
      <c r="K391" s="380"/>
      <c r="L391" s="381"/>
    </row>
    <row r="392" spans="2:12" s="377" customFormat="1">
      <c r="B392" s="375"/>
      <c r="C392" s="376"/>
      <c r="G392" s="378"/>
      <c r="H392" s="378"/>
      <c r="J392" s="379"/>
      <c r="K392" s="380"/>
      <c r="L392" s="381"/>
    </row>
    <row r="393" spans="2:12" s="377" customFormat="1">
      <c r="B393" s="375"/>
      <c r="C393" s="376"/>
      <c r="G393" s="378"/>
      <c r="H393" s="378"/>
      <c r="J393" s="379"/>
      <c r="K393" s="380"/>
      <c r="L393" s="381"/>
    </row>
    <row r="394" spans="2:12" s="377" customFormat="1">
      <c r="B394" s="375"/>
      <c r="C394" s="376"/>
      <c r="G394" s="378"/>
      <c r="H394" s="378"/>
      <c r="J394" s="379"/>
      <c r="K394" s="380"/>
      <c r="L394" s="381"/>
    </row>
    <row r="395" spans="2:12" s="377" customFormat="1">
      <c r="B395" s="375"/>
      <c r="C395" s="376"/>
      <c r="G395" s="378"/>
      <c r="H395" s="378"/>
      <c r="J395" s="379"/>
      <c r="K395" s="380"/>
      <c r="L395" s="381"/>
    </row>
    <row r="396" spans="2:12" s="377" customFormat="1">
      <c r="B396" s="375"/>
      <c r="C396" s="376"/>
      <c r="G396" s="378"/>
      <c r="H396" s="378"/>
      <c r="J396" s="379"/>
      <c r="K396" s="380"/>
      <c r="L396" s="381"/>
    </row>
    <row r="397" spans="2:12" s="377" customFormat="1">
      <c r="B397" s="375"/>
      <c r="C397" s="376"/>
      <c r="G397" s="378"/>
      <c r="H397" s="378"/>
      <c r="J397" s="379"/>
      <c r="K397" s="380"/>
      <c r="L397" s="381"/>
    </row>
    <row r="398" spans="2:12" s="377" customFormat="1">
      <c r="B398" s="375"/>
      <c r="C398" s="376"/>
      <c r="G398" s="378"/>
      <c r="H398" s="378"/>
      <c r="J398" s="379"/>
      <c r="K398" s="380"/>
      <c r="L398" s="381"/>
    </row>
    <row r="399" spans="2:12" s="377" customFormat="1">
      <c r="B399" s="375"/>
      <c r="C399" s="376"/>
      <c r="G399" s="378"/>
      <c r="H399" s="378"/>
      <c r="J399" s="379"/>
      <c r="K399" s="380"/>
      <c r="L399" s="381"/>
    </row>
    <row r="400" spans="2:12" s="377" customFormat="1">
      <c r="B400" s="375"/>
      <c r="C400" s="376"/>
      <c r="G400" s="378"/>
      <c r="H400" s="378"/>
      <c r="J400" s="379"/>
      <c r="K400" s="380"/>
      <c r="L400" s="381"/>
    </row>
    <row r="401" spans="2:12" s="377" customFormat="1">
      <c r="B401" s="375"/>
      <c r="C401" s="376"/>
      <c r="G401" s="378"/>
      <c r="H401" s="378"/>
      <c r="J401" s="379"/>
      <c r="K401" s="380"/>
      <c r="L401" s="381"/>
    </row>
    <row r="402" spans="2:12" s="377" customFormat="1">
      <c r="B402" s="375"/>
      <c r="C402" s="376"/>
      <c r="G402" s="378"/>
      <c r="H402" s="378"/>
      <c r="J402" s="379"/>
      <c r="K402" s="380"/>
      <c r="L402" s="381"/>
    </row>
    <row r="403" spans="2:12" s="377" customFormat="1">
      <c r="B403" s="375"/>
      <c r="C403" s="376"/>
      <c r="G403" s="378"/>
      <c r="H403" s="378"/>
      <c r="J403" s="379"/>
      <c r="K403" s="380"/>
      <c r="L403" s="381"/>
    </row>
    <row r="404" spans="2:12" s="377" customFormat="1">
      <c r="B404" s="375"/>
      <c r="C404" s="376"/>
      <c r="G404" s="378"/>
      <c r="H404" s="378"/>
      <c r="J404" s="379"/>
      <c r="K404" s="380"/>
      <c r="L404" s="381"/>
    </row>
    <row r="405" spans="2:12" s="377" customFormat="1">
      <c r="B405" s="375"/>
      <c r="C405" s="376"/>
      <c r="G405" s="378"/>
      <c r="H405" s="378"/>
      <c r="J405" s="379"/>
      <c r="K405" s="380"/>
      <c r="L405" s="381"/>
    </row>
    <row r="406" spans="2:12" s="377" customFormat="1">
      <c r="B406" s="375"/>
      <c r="C406" s="376"/>
      <c r="G406" s="378"/>
      <c r="H406" s="378"/>
      <c r="J406" s="379"/>
      <c r="K406" s="380"/>
      <c r="L406" s="381"/>
    </row>
    <row r="407" spans="2:12" s="377" customFormat="1">
      <c r="B407" s="375"/>
      <c r="C407" s="376"/>
      <c r="G407" s="378"/>
      <c r="H407" s="378"/>
      <c r="J407" s="379"/>
      <c r="K407" s="380"/>
      <c r="L407" s="381"/>
    </row>
    <row r="408" spans="2:12" s="377" customFormat="1">
      <c r="B408" s="375"/>
      <c r="C408" s="376"/>
      <c r="G408" s="378"/>
      <c r="H408" s="378"/>
      <c r="J408" s="379"/>
      <c r="K408" s="380"/>
      <c r="L408" s="381"/>
    </row>
    <row r="409" spans="2:12" s="377" customFormat="1">
      <c r="B409" s="375"/>
      <c r="C409" s="376"/>
      <c r="G409" s="378"/>
      <c r="H409" s="378"/>
      <c r="J409" s="379"/>
      <c r="K409" s="380"/>
      <c r="L409" s="381"/>
    </row>
    <row r="410" spans="2:12" s="377" customFormat="1">
      <c r="B410" s="375"/>
      <c r="C410" s="376"/>
      <c r="G410" s="378"/>
      <c r="H410" s="378"/>
      <c r="J410" s="379"/>
      <c r="K410" s="380"/>
      <c r="L410" s="381"/>
    </row>
    <row r="411" spans="2:12" s="377" customFormat="1">
      <c r="B411" s="375"/>
      <c r="C411" s="376"/>
      <c r="G411" s="378"/>
      <c r="H411" s="378"/>
      <c r="J411" s="379"/>
      <c r="K411" s="380"/>
      <c r="L411" s="381"/>
    </row>
    <row r="412" spans="2:12" s="377" customFormat="1">
      <c r="B412" s="375"/>
      <c r="C412" s="376"/>
      <c r="G412" s="378"/>
      <c r="H412" s="378"/>
      <c r="J412" s="379"/>
      <c r="K412" s="380"/>
      <c r="L412" s="381"/>
    </row>
    <row r="413" spans="2:12" s="377" customFormat="1">
      <c r="B413" s="375"/>
      <c r="C413" s="376"/>
      <c r="G413" s="378"/>
      <c r="H413" s="378"/>
      <c r="J413" s="379"/>
      <c r="K413" s="380"/>
      <c r="L413" s="381"/>
    </row>
    <row r="414" spans="2:12" s="377" customFormat="1">
      <c r="B414" s="375"/>
      <c r="C414" s="376"/>
      <c r="G414" s="378"/>
      <c r="H414" s="378"/>
      <c r="J414" s="379"/>
      <c r="K414" s="380"/>
      <c r="L414" s="381"/>
    </row>
    <row r="415" spans="2:12" s="377" customFormat="1">
      <c r="B415" s="375"/>
      <c r="C415" s="376"/>
      <c r="G415" s="378"/>
      <c r="H415" s="378"/>
      <c r="J415" s="379"/>
      <c r="K415" s="380"/>
      <c r="L415" s="381"/>
    </row>
    <row r="416" spans="2:12" s="377" customFormat="1">
      <c r="B416" s="375"/>
      <c r="C416" s="376"/>
      <c r="G416" s="378"/>
      <c r="H416" s="378"/>
      <c r="J416" s="379"/>
      <c r="K416" s="380"/>
      <c r="L416" s="381"/>
    </row>
    <row r="417" spans="2:12" s="377" customFormat="1">
      <c r="B417" s="375"/>
      <c r="C417" s="376"/>
      <c r="G417" s="378"/>
      <c r="H417" s="378"/>
      <c r="J417" s="379"/>
      <c r="K417" s="380"/>
      <c r="L417" s="381"/>
    </row>
    <row r="418" spans="2:12" s="377" customFormat="1">
      <c r="B418" s="375"/>
      <c r="C418" s="376"/>
      <c r="G418" s="378"/>
      <c r="H418" s="378"/>
      <c r="J418" s="379"/>
      <c r="K418" s="380"/>
      <c r="L418" s="381"/>
    </row>
    <row r="419" spans="2:12" s="377" customFormat="1">
      <c r="B419" s="375"/>
      <c r="C419" s="376"/>
      <c r="G419" s="378"/>
      <c r="H419" s="378"/>
      <c r="J419" s="379"/>
      <c r="K419" s="380"/>
      <c r="L419" s="381"/>
    </row>
    <row r="420" spans="2:12" s="377" customFormat="1">
      <c r="B420" s="375"/>
      <c r="C420" s="376"/>
      <c r="G420" s="378"/>
      <c r="H420" s="378"/>
      <c r="J420" s="379"/>
      <c r="K420" s="380"/>
      <c r="L420" s="381"/>
    </row>
    <row r="421" spans="2:12" s="377" customFormat="1">
      <c r="B421" s="375"/>
      <c r="C421" s="376"/>
      <c r="G421" s="378"/>
      <c r="H421" s="378"/>
      <c r="J421" s="379"/>
      <c r="K421" s="380"/>
      <c r="L421" s="381"/>
    </row>
    <row r="422" spans="2:12" s="377" customFormat="1">
      <c r="B422" s="375"/>
      <c r="C422" s="376"/>
      <c r="G422" s="378"/>
      <c r="H422" s="378"/>
      <c r="J422" s="379"/>
      <c r="K422" s="380"/>
      <c r="L422" s="381"/>
    </row>
    <row r="423" spans="2:12" s="377" customFormat="1">
      <c r="B423" s="375"/>
      <c r="C423" s="376"/>
      <c r="G423" s="378"/>
      <c r="H423" s="378"/>
      <c r="J423" s="379"/>
      <c r="K423" s="380"/>
      <c r="L423" s="381"/>
    </row>
    <row r="424" spans="2:12" s="377" customFormat="1">
      <c r="B424" s="375"/>
      <c r="C424" s="376"/>
      <c r="G424" s="378"/>
      <c r="H424" s="378"/>
      <c r="J424" s="379"/>
      <c r="K424" s="380"/>
      <c r="L424" s="381"/>
    </row>
    <row r="425" spans="2:12" s="377" customFormat="1">
      <c r="B425" s="375"/>
      <c r="C425" s="376"/>
      <c r="G425" s="378"/>
      <c r="H425" s="378"/>
      <c r="J425" s="379"/>
      <c r="K425" s="380"/>
      <c r="L425" s="381"/>
    </row>
    <row r="426" spans="2:12" s="377" customFormat="1">
      <c r="B426" s="375"/>
      <c r="C426" s="376"/>
      <c r="G426" s="378"/>
      <c r="H426" s="378"/>
      <c r="J426" s="379"/>
      <c r="K426" s="380"/>
      <c r="L426" s="381"/>
    </row>
    <row r="427" spans="2:12" s="377" customFormat="1">
      <c r="B427" s="375"/>
      <c r="C427" s="376"/>
      <c r="G427" s="378"/>
      <c r="H427" s="378"/>
      <c r="J427" s="379"/>
      <c r="K427" s="380"/>
      <c r="L427" s="381"/>
    </row>
    <row r="428" spans="2:12" s="377" customFormat="1">
      <c r="B428" s="375"/>
      <c r="C428" s="376"/>
      <c r="G428" s="378"/>
      <c r="H428" s="378"/>
      <c r="J428" s="379"/>
      <c r="K428" s="380"/>
      <c r="L428" s="381"/>
    </row>
    <row r="429" spans="2:12" s="377" customFormat="1">
      <c r="B429" s="375"/>
      <c r="C429" s="376"/>
      <c r="G429" s="378"/>
      <c r="H429" s="378"/>
      <c r="J429" s="379"/>
      <c r="K429" s="380"/>
      <c r="L429" s="381"/>
    </row>
    <row r="430" spans="2:12" s="377" customFormat="1">
      <c r="B430" s="375"/>
      <c r="C430" s="376"/>
      <c r="G430" s="378"/>
      <c r="H430" s="378"/>
      <c r="J430" s="379"/>
      <c r="K430" s="380"/>
      <c r="L430" s="381"/>
    </row>
    <row r="431" spans="2:12" s="377" customFormat="1">
      <c r="B431" s="375"/>
      <c r="C431" s="376"/>
      <c r="G431" s="378"/>
      <c r="H431" s="378"/>
      <c r="J431" s="379"/>
      <c r="K431" s="380"/>
      <c r="L431" s="381"/>
    </row>
    <row r="432" spans="2:12" s="377" customFormat="1">
      <c r="B432" s="375"/>
      <c r="C432" s="376"/>
      <c r="G432" s="378"/>
      <c r="H432" s="378"/>
      <c r="J432" s="379"/>
      <c r="K432" s="380"/>
      <c r="L432" s="381"/>
    </row>
    <row r="433" spans="2:12" s="377" customFormat="1">
      <c r="B433" s="375"/>
      <c r="C433" s="376"/>
      <c r="G433" s="378"/>
      <c r="H433" s="378"/>
      <c r="J433" s="379"/>
      <c r="K433" s="380"/>
      <c r="L433" s="381"/>
    </row>
    <row r="434" spans="2:12" s="377" customFormat="1">
      <c r="B434" s="375"/>
      <c r="C434" s="376"/>
      <c r="G434" s="378"/>
      <c r="H434" s="378"/>
      <c r="J434" s="379"/>
      <c r="K434" s="380"/>
      <c r="L434" s="381"/>
    </row>
    <row r="435" spans="2:12" s="377" customFormat="1">
      <c r="B435" s="375"/>
      <c r="C435" s="376"/>
      <c r="G435" s="378"/>
      <c r="H435" s="378"/>
      <c r="J435" s="379"/>
      <c r="K435" s="380"/>
      <c r="L435" s="381"/>
    </row>
    <row r="436" spans="2:12" s="377" customFormat="1">
      <c r="B436" s="375"/>
      <c r="C436" s="376"/>
      <c r="G436" s="378"/>
      <c r="H436" s="378"/>
      <c r="J436" s="379"/>
      <c r="K436" s="380"/>
      <c r="L436" s="381"/>
    </row>
    <row r="437" spans="2:12" s="377" customFormat="1">
      <c r="B437" s="375"/>
      <c r="C437" s="376"/>
      <c r="G437" s="378"/>
      <c r="H437" s="378"/>
      <c r="J437" s="379"/>
      <c r="K437" s="380"/>
      <c r="L437" s="381"/>
    </row>
    <row r="438" spans="2:12" s="377" customFormat="1">
      <c r="B438" s="375"/>
      <c r="C438" s="376"/>
      <c r="G438" s="378"/>
      <c r="H438" s="378"/>
      <c r="J438" s="379"/>
      <c r="K438" s="380"/>
      <c r="L438" s="381"/>
    </row>
    <row r="439" spans="2:12" s="377" customFormat="1">
      <c r="B439" s="375"/>
      <c r="C439" s="376"/>
      <c r="G439" s="378"/>
      <c r="H439" s="378"/>
      <c r="J439" s="379"/>
      <c r="K439" s="380"/>
      <c r="L439" s="381"/>
    </row>
    <row r="440" spans="2:12" s="377" customFormat="1">
      <c r="B440" s="375"/>
      <c r="C440" s="376"/>
      <c r="G440" s="378"/>
      <c r="H440" s="378"/>
      <c r="J440" s="379"/>
      <c r="K440" s="380"/>
      <c r="L440" s="381"/>
    </row>
    <row r="441" spans="2:12" s="377" customFormat="1">
      <c r="B441" s="375"/>
      <c r="C441" s="376"/>
      <c r="G441" s="378"/>
      <c r="H441" s="378"/>
      <c r="J441" s="379"/>
      <c r="K441" s="380"/>
      <c r="L441" s="381"/>
    </row>
    <row r="442" spans="2:12" s="377" customFormat="1">
      <c r="B442" s="375"/>
      <c r="C442" s="376"/>
      <c r="G442" s="378"/>
      <c r="H442" s="378"/>
      <c r="J442" s="379"/>
      <c r="K442" s="380"/>
      <c r="L442" s="381"/>
    </row>
    <row r="443" spans="2:12" s="377" customFormat="1">
      <c r="B443" s="375"/>
      <c r="C443" s="376"/>
      <c r="G443" s="378"/>
      <c r="H443" s="378"/>
      <c r="J443" s="379"/>
      <c r="K443" s="380"/>
      <c r="L443" s="381"/>
    </row>
    <row r="444" spans="2:12" s="377" customFormat="1">
      <c r="B444" s="375"/>
      <c r="C444" s="376"/>
      <c r="G444" s="378"/>
      <c r="H444" s="378"/>
      <c r="J444" s="379"/>
      <c r="K444" s="380"/>
      <c r="L444" s="381"/>
    </row>
    <row r="445" spans="2:12" s="377" customFormat="1">
      <c r="B445" s="375"/>
      <c r="C445" s="376"/>
      <c r="G445" s="378"/>
      <c r="H445" s="378"/>
      <c r="J445" s="379"/>
      <c r="K445" s="380"/>
      <c r="L445" s="381"/>
    </row>
    <row r="446" spans="2:12" s="377" customFormat="1">
      <c r="B446" s="375"/>
      <c r="C446" s="376"/>
      <c r="G446" s="378"/>
      <c r="H446" s="378"/>
      <c r="J446" s="379"/>
      <c r="K446" s="380"/>
      <c r="L446" s="381"/>
    </row>
    <row r="447" spans="2:12" s="377" customFormat="1">
      <c r="B447" s="375"/>
      <c r="C447" s="376"/>
      <c r="G447" s="378"/>
      <c r="H447" s="378"/>
      <c r="J447" s="379"/>
      <c r="K447" s="380"/>
      <c r="L447" s="381"/>
    </row>
    <row r="448" spans="2:12" s="377" customFormat="1">
      <c r="B448" s="375"/>
      <c r="C448" s="376"/>
      <c r="G448" s="378"/>
      <c r="H448" s="378"/>
      <c r="J448" s="379"/>
      <c r="K448" s="380"/>
      <c r="L448" s="381"/>
    </row>
    <row r="449" spans="2:12" s="377" customFormat="1">
      <c r="B449" s="375"/>
      <c r="C449" s="376"/>
      <c r="G449" s="378"/>
      <c r="H449" s="378"/>
      <c r="J449" s="379"/>
      <c r="K449" s="380"/>
      <c r="L449" s="381"/>
    </row>
    <row r="450" spans="2:12" s="377" customFormat="1">
      <c r="B450" s="375"/>
      <c r="C450" s="376"/>
      <c r="G450" s="378"/>
      <c r="H450" s="378"/>
      <c r="J450" s="379"/>
      <c r="K450" s="380"/>
      <c r="L450" s="381"/>
    </row>
    <row r="451" spans="2:12" s="377" customFormat="1">
      <c r="B451" s="375"/>
      <c r="C451" s="376"/>
      <c r="G451" s="378"/>
      <c r="H451" s="378"/>
      <c r="J451" s="379"/>
      <c r="K451" s="380"/>
      <c r="L451" s="381"/>
    </row>
    <row r="452" spans="2:12" s="377" customFormat="1">
      <c r="B452" s="375"/>
      <c r="C452" s="376"/>
      <c r="G452" s="378"/>
      <c r="H452" s="378"/>
      <c r="J452" s="379"/>
      <c r="K452" s="380"/>
      <c r="L452" s="381"/>
    </row>
    <row r="453" spans="2:12" s="377" customFormat="1">
      <c r="B453" s="375"/>
      <c r="C453" s="376"/>
      <c r="G453" s="378"/>
      <c r="H453" s="378"/>
      <c r="J453" s="379"/>
      <c r="K453" s="380"/>
      <c r="L453" s="381"/>
    </row>
    <row r="454" spans="2:12" s="377" customFormat="1">
      <c r="B454" s="375"/>
      <c r="C454" s="376"/>
      <c r="G454" s="378"/>
      <c r="H454" s="378"/>
      <c r="J454" s="379"/>
      <c r="K454" s="380"/>
      <c r="L454" s="381"/>
    </row>
    <row r="455" spans="2:12" s="377" customFormat="1">
      <c r="B455" s="375"/>
      <c r="C455" s="376"/>
      <c r="G455" s="378"/>
      <c r="H455" s="378"/>
      <c r="J455" s="379"/>
      <c r="K455" s="380"/>
      <c r="L455" s="381"/>
    </row>
    <row r="456" spans="2:12" s="377" customFormat="1">
      <c r="B456" s="375"/>
      <c r="C456" s="376"/>
      <c r="G456" s="378"/>
      <c r="H456" s="378"/>
      <c r="J456" s="379"/>
      <c r="K456" s="380"/>
      <c r="L456" s="381"/>
    </row>
    <row r="457" spans="2:12" s="377" customFormat="1">
      <c r="B457" s="375"/>
      <c r="C457" s="376"/>
      <c r="G457" s="378"/>
      <c r="H457" s="378"/>
      <c r="J457" s="379"/>
      <c r="K457" s="380"/>
      <c r="L457" s="381"/>
    </row>
    <row r="458" spans="2:12" s="377" customFormat="1">
      <c r="B458" s="375"/>
      <c r="C458" s="376"/>
      <c r="G458" s="378"/>
      <c r="H458" s="378"/>
      <c r="J458" s="379"/>
      <c r="K458" s="380"/>
      <c r="L458" s="381"/>
    </row>
    <row r="459" spans="2:12" s="377" customFormat="1">
      <c r="B459" s="375"/>
      <c r="C459" s="376"/>
      <c r="G459" s="378"/>
      <c r="H459" s="378"/>
      <c r="J459" s="379"/>
      <c r="K459" s="380"/>
      <c r="L459" s="381"/>
    </row>
    <row r="460" spans="2:12" s="377" customFormat="1">
      <c r="B460" s="375"/>
      <c r="C460" s="376"/>
      <c r="G460" s="378"/>
      <c r="H460" s="378"/>
      <c r="J460" s="379"/>
      <c r="K460" s="380"/>
      <c r="L460" s="381"/>
    </row>
    <row r="461" spans="2:12" s="377" customFormat="1">
      <c r="B461" s="375"/>
      <c r="C461" s="376"/>
      <c r="G461" s="378"/>
      <c r="H461" s="378"/>
      <c r="J461" s="379"/>
      <c r="K461" s="380"/>
      <c r="L461" s="381"/>
    </row>
    <row r="462" spans="2:12" s="377" customFormat="1">
      <c r="B462" s="375"/>
      <c r="C462" s="376"/>
      <c r="G462" s="378"/>
      <c r="H462" s="378"/>
      <c r="J462" s="379"/>
      <c r="K462" s="380"/>
      <c r="L462" s="381"/>
    </row>
    <row r="463" spans="2:12" s="377" customFormat="1">
      <c r="B463" s="375"/>
      <c r="C463" s="376"/>
      <c r="G463" s="378"/>
      <c r="H463" s="378"/>
      <c r="J463" s="379"/>
      <c r="K463" s="380"/>
      <c r="L463" s="381"/>
    </row>
    <row r="464" spans="2:12" s="377" customFormat="1">
      <c r="B464" s="375"/>
      <c r="C464" s="376"/>
      <c r="G464" s="378"/>
      <c r="H464" s="378"/>
      <c r="J464" s="379"/>
      <c r="K464" s="380"/>
      <c r="L464" s="381"/>
    </row>
    <row r="465" spans="2:12" s="377" customFormat="1">
      <c r="B465" s="375"/>
      <c r="C465" s="376"/>
      <c r="G465" s="378"/>
      <c r="H465" s="378"/>
      <c r="J465" s="379"/>
      <c r="K465" s="380"/>
      <c r="L465" s="381"/>
    </row>
    <row r="466" spans="2:12" s="377" customFormat="1">
      <c r="B466" s="375"/>
      <c r="C466" s="376"/>
      <c r="G466" s="378"/>
      <c r="H466" s="378"/>
      <c r="J466" s="379"/>
      <c r="K466" s="380"/>
      <c r="L466" s="381"/>
    </row>
    <row r="467" spans="2:12" s="377" customFormat="1">
      <c r="B467" s="375"/>
      <c r="C467" s="376"/>
      <c r="G467" s="378"/>
      <c r="H467" s="378"/>
      <c r="J467" s="379"/>
      <c r="K467" s="380"/>
      <c r="L467" s="381"/>
    </row>
    <row r="468" spans="2:12" s="377" customFormat="1">
      <c r="B468" s="375"/>
      <c r="C468" s="376"/>
      <c r="G468" s="378"/>
      <c r="H468" s="378"/>
      <c r="J468" s="379"/>
      <c r="K468" s="380"/>
      <c r="L468" s="381"/>
    </row>
    <row r="469" spans="2:12" s="377" customFormat="1">
      <c r="B469" s="375"/>
      <c r="C469" s="376"/>
      <c r="G469" s="378"/>
      <c r="H469" s="378"/>
      <c r="J469" s="379"/>
      <c r="K469" s="380"/>
      <c r="L469" s="381"/>
    </row>
    <row r="470" spans="2:12" s="377" customFormat="1">
      <c r="B470" s="375"/>
      <c r="C470" s="376"/>
      <c r="G470" s="378"/>
      <c r="H470" s="378"/>
      <c r="J470" s="379"/>
      <c r="K470" s="380"/>
      <c r="L470" s="381"/>
    </row>
    <row r="471" spans="2:12" s="377" customFormat="1">
      <c r="B471" s="375"/>
      <c r="C471" s="376"/>
      <c r="G471" s="378"/>
      <c r="H471" s="378"/>
      <c r="J471" s="379"/>
      <c r="K471" s="380"/>
      <c r="L471" s="381"/>
    </row>
    <row r="472" spans="2:12" s="377" customFormat="1">
      <c r="B472" s="375"/>
      <c r="C472" s="376"/>
      <c r="G472" s="378"/>
      <c r="H472" s="378"/>
      <c r="J472" s="379"/>
      <c r="K472" s="380"/>
      <c r="L472" s="381"/>
    </row>
    <row r="473" spans="2:12" s="377" customFormat="1">
      <c r="B473" s="375"/>
      <c r="C473" s="376"/>
      <c r="G473" s="378"/>
      <c r="H473" s="378"/>
      <c r="J473" s="379"/>
      <c r="K473" s="380"/>
      <c r="L473" s="381"/>
    </row>
    <row r="474" spans="2:12" s="377" customFormat="1">
      <c r="B474" s="375"/>
      <c r="C474" s="376"/>
      <c r="G474" s="378"/>
      <c r="H474" s="378"/>
      <c r="J474" s="379"/>
      <c r="K474" s="380"/>
      <c r="L474" s="381"/>
    </row>
    <row r="475" spans="2:12" s="377" customFormat="1">
      <c r="B475" s="375"/>
      <c r="C475" s="376"/>
      <c r="G475" s="378"/>
      <c r="H475" s="378"/>
      <c r="J475" s="379"/>
      <c r="K475" s="380"/>
      <c r="L475" s="381"/>
    </row>
    <row r="476" spans="2:12" s="377" customFormat="1">
      <c r="B476" s="375"/>
      <c r="C476" s="376"/>
      <c r="G476" s="378"/>
      <c r="H476" s="378"/>
      <c r="J476" s="379"/>
      <c r="K476" s="380"/>
      <c r="L476" s="381"/>
    </row>
    <row r="477" spans="2:12" s="377" customFormat="1">
      <c r="B477" s="375"/>
      <c r="C477" s="376"/>
      <c r="G477" s="378"/>
      <c r="H477" s="378"/>
      <c r="J477" s="379"/>
      <c r="K477" s="380"/>
      <c r="L477" s="381"/>
    </row>
    <row r="478" spans="2:12" s="377" customFormat="1">
      <c r="B478" s="375"/>
      <c r="C478" s="376"/>
      <c r="G478" s="378"/>
      <c r="H478" s="378"/>
      <c r="J478" s="379"/>
      <c r="K478" s="380"/>
      <c r="L478" s="381"/>
    </row>
    <row r="479" spans="2:12" s="377" customFormat="1">
      <c r="B479" s="375"/>
      <c r="C479" s="376"/>
      <c r="G479" s="378"/>
      <c r="H479" s="378"/>
      <c r="J479" s="379"/>
      <c r="K479" s="380"/>
      <c r="L479" s="381"/>
    </row>
    <row r="480" spans="2:12" s="377" customFormat="1">
      <c r="B480" s="375"/>
      <c r="C480" s="376"/>
      <c r="G480" s="378"/>
      <c r="H480" s="378"/>
      <c r="J480" s="379"/>
      <c r="K480" s="380"/>
      <c r="L480" s="381"/>
    </row>
    <row r="481" spans="2:12" s="377" customFormat="1">
      <c r="B481" s="375"/>
      <c r="C481" s="376"/>
      <c r="G481" s="378"/>
      <c r="H481" s="378"/>
      <c r="J481" s="379"/>
      <c r="K481" s="380"/>
      <c r="L481" s="381"/>
    </row>
    <row r="482" spans="2:12" s="377" customFormat="1">
      <c r="B482" s="375"/>
      <c r="C482" s="376"/>
      <c r="G482" s="378"/>
      <c r="H482" s="378"/>
      <c r="J482" s="379"/>
      <c r="K482" s="380"/>
      <c r="L482" s="381"/>
    </row>
    <row r="483" spans="2:12" s="377" customFormat="1">
      <c r="B483" s="375"/>
      <c r="C483" s="376"/>
      <c r="G483" s="378"/>
      <c r="H483" s="378"/>
      <c r="J483" s="379"/>
      <c r="K483" s="380"/>
      <c r="L483" s="381"/>
    </row>
    <row r="484" spans="2:12" s="377" customFormat="1">
      <c r="B484" s="375"/>
      <c r="C484" s="376"/>
      <c r="G484" s="378"/>
      <c r="H484" s="378"/>
      <c r="J484" s="379"/>
      <c r="K484" s="380"/>
      <c r="L484" s="381"/>
    </row>
    <row r="485" spans="2:12" s="377" customFormat="1">
      <c r="B485" s="375"/>
      <c r="C485" s="376"/>
      <c r="G485" s="378"/>
      <c r="H485" s="378"/>
      <c r="J485" s="379"/>
      <c r="K485" s="380"/>
      <c r="L485" s="381"/>
    </row>
    <row r="486" spans="2:12" s="377" customFormat="1">
      <c r="B486" s="375"/>
      <c r="C486" s="376"/>
      <c r="G486" s="378"/>
      <c r="H486" s="378"/>
      <c r="J486" s="379"/>
      <c r="K486" s="380"/>
      <c r="L486" s="381"/>
    </row>
    <row r="487" spans="2:12" s="377" customFormat="1">
      <c r="B487" s="375"/>
      <c r="C487" s="376"/>
      <c r="G487" s="378"/>
      <c r="H487" s="378"/>
      <c r="J487" s="379"/>
      <c r="K487" s="380"/>
      <c r="L487" s="381"/>
    </row>
    <row r="488" spans="2:12" s="377" customFormat="1">
      <c r="B488" s="375"/>
      <c r="C488" s="376"/>
      <c r="G488" s="378"/>
      <c r="H488" s="378"/>
      <c r="J488" s="379"/>
      <c r="K488" s="380"/>
      <c r="L488" s="381"/>
    </row>
    <row r="489" spans="2:12" s="377" customFormat="1">
      <c r="B489" s="375"/>
      <c r="C489" s="376"/>
      <c r="G489" s="378"/>
      <c r="H489" s="378"/>
      <c r="J489" s="379"/>
      <c r="K489" s="380"/>
      <c r="L489" s="381"/>
    </row>
    <row r="490" spans="2:12" s="377" customFormat="1">
      <c r="B490" s="375"/>
      <c r="C490" s="376"/>
      <c r="G490" s="378"/>
      <c r="H490" s="378"/>
      <c r="J490" s="379"/>
      <c r="K490" s="380"/>
      <c r="L490" s="381"/>
    </row>
    <row r="491" spans="2:12" s="377" customFormat="1">
      <c r="B491" s="375"/>
      <c r="C491" s="376"/>
      <c r="G491" s="378"/>
      <c r="H491" s="378"/>
      <c r="J491" s="379"/>
      <c r="K491" s="380"/>
      <c r="L491" s="381"/>
    </row>
    <row r="492" spans="2:12" s="377" customFormat="1">
      <c r="B492" s="375"/>
      <c r="C492" s="376"/>
      <c r="G492" s="378"/>
      <c r="H492" s="378"/>
      <c r="J492" s="379"/>
      <c r="K492" s="380"/>
      <c r="L492" s="381"/>
    </row>
    <row r="493" spans="2:12" s="377" customFormat="1">
      <c r="B493" s="375"/>
      <c r="C493" s="376"/>
      <c r="G493" s="378"/>
      <c r="H493" s="378"/>
      <c r="J493" s="379"/>
      <c r="K493" s="380"/>
      <c r="L493" s="381"/>
    </row>
    <row r="494" spans="2:12" s="377" customFormat="1">
      <c r="B494" s="375"/>
      <c r="C494" s="376"/>
      <c r="G494" s="378"/>
      <c r="H494" s="378"/>
      <c r="J494" s="379"/>
      <c r="K494" s="380"/>
      <c r="L494" s="381"/>
    </row>
    <row r="495" spans="2:12" s="377" customFormat="1">
      <c r="B495" s="375"/>
      <c r="C495" s="376"/>
      <c r="G495" s="378"/>
      <c r="H495" s="378"/>
      <c r="J495" s="379"/>
      <c r="K495" s="380"/>
      <c r="L495" s="381"/>
    </row>
    <row r="496" spans="2:12" s="377" customFormat="1">
      <c r="B496" s="375"/>
      <c r="C496" s="376"/>
      <c r="G496" s="378"/>
      <c r="H496" s="378"/>
      <c r="J496" s="379"/>
      <c r="K496" s="380"/>
      <c r="L496" s="381"/>
    </row>
    <row r="497" spans="2:12" s="377" customFormat="1">
      <c r="B497" s="375"/>
      <c r="C497" s="376"/>
      <c r="G497" s="378"/>
      <c r="H497" s="378"/>
      <c r="J497" s="379"/>
      <c r="K497" s="380"/>
      <c r="L497" s="381"/>
    </row>
    <row r="498" spans="2:12" s="377" customFormat="1">
      <c r="B498" s="375"/>
      <c r="C498" s="376"/>
      <c r="G498" s="378"/>
      <c r="H498" s="378"/>
      <c r="J498" s="379"/>
      <c r="K498" s="380"/>
      <c r="L498" s="381"/>
    </row>
    <row r="499" spans="2:12" s="377" customFormat="1">
      <c r="B499" s="375"/>
      <c r="C499" s="376"/>
      <c r="G499" s="378"/>
      <c r="H499" s="378"/>
      <c r="J499" s="379"/>
      <c r="K499" s="380"/>
      <c r="L499" s="381"/>
    </row>
    <row r="500" spans="2:12" s="377" customFormat="1">
      <c r="B500" s="375"/>
      <c r="C500" s="376"/>
      <c r="G500" s="378"/>
      <c r="H500" s="378"/>
      <c r="J500" s="379"/>
      <c r="K500" s="380"/>
      <c r="L500" s="381"/>
    </row>
    <row r="501" spans="2:12" s="377" customFormat="1">
      <c r="B501" s="375"/>
      <c r="C501" s="376"/>
      <c r="G501" s="378"/>
      <c r="H501" s="378"/>
      <c r="J501" s="379"/>
      <c r="K501" s="380"/>
      <c r="L501" s="381"/>
    </row>
    <row r="502" spans="2:12" s="377" customFormat="1">
      <c r="B502" s="375"/>
      <c r="C502" s="376"/>
      <c r="G502" s="378"/>
      <c r="H502" s="378"/>
      <c r="J502" s="379"/>
      <c r="K502" s="380"/>
      <c r="L502" s="381"/>
    </row>
    <row r="503" spans="2:12" s="377" customFormat="1">
      <c r="B503" s="375"/>
      <c r="C503" s="376"/>
      <c r="G503" s="378"/>
      <c r="H503" s="378"/>
      <c r="J503" s="379"/>
      <c r="K503" s="380"/>
      <c r="L503" s="381"/>
    </row>
    <row r="504" spans="2:12" s="377" customFormat="1">
      <c r="B504" s="375"/>
      <c r="C504" s="376"/>
      <c r="G504" s="378"/>
      <c r="H504" s="378"/>
      <c r="J504" s="379"/>
      <c r="K504" s="380"/>
      <c r="L504" s="381"/>
    </row>
    <row r="505" spans="2:12" s="377" customFormat="1">
      <c r="B505" s="375"/>
      <c r="C505" s="376"/>
      <c r="G505" s="378"/>
      <c r="H505" s="378"/>
      <c r="J505" s="379"/>
      <c r="K505" s="380"/>
      <c r="L505" s="381"/>
    </row>
    <row r="506" spans="2:12" s="377" customFormat="1">
      <c r="B506" s="375"/>
      <c r="C506" s="376"/>
      <c r="G506" s="378"/>
      <c r="H506" s="378"/>
      <c r="J506" s="379"/>
      <c r="K506" s="380"/>
      <c r="L506" s="381"/>
    </row>
    <row r="507" spans="2:12" s="377" customFormat="1">
      <c r="B507" s="375"/>
      <c r="C507" s="376"/>
      <c r="G507" s="378"/>
      <c r="H507" s="378"/>
      <c r="J507" s="379"/>
      <c r="K507" s="380"/>
      <c r="L507" s="381"/>
    </row>
    <row r="508" spans="2:12" s="377" customFormat="1">
      <c r="B508" s="375"/>
      <c r="C508" s="376"/>
      <c r="G508" s="378"/>
      <c r="H508" s="378"/>
      <c r="J508" s="379"/>
      <c r="K508" s="380"/>
      <c r="L508" s="381"/>
    </row>
    <row r="509" spans="2:12" s="377" customFormat="1">
      <c r="B509" s="375"/>
      <c r="C509" s="376"/>
      <c r="G509" s="378"/>
      <c r="H509" s="378"/>
      <c r="J509" s="379"/>
      <c r="K509" s="380"/>
      <c r="L509" s="381"/>
    </row>
    <row r="510" spans="2:12" s="377" customFormat="1">
      <c r="B510" s="375"/>
      <c r="C510" s="376"/>
      <c r="G510" s="378"/>
      <c r="H510" s="378"/>
      <c r="J510" s="379"/>
      <c r="K510" s="380"/>
      <c r="L510" s="381"/>
    </row>
    <row r="511" spans="2:12" s="377" customFormat="1">
      <c r="B511" s="375"/>
      <c r="C511" s="376"/>
      <c r="G511" s="378"/>
      <c r="H511" s="378"/>
      <c r="J511" s="379"/>
      <c r="K511" s="380"/>
      <c r="L511" s="381"/>
    </row>
    <row r="512" spans="2:12" s="377" customFormat="1">
      <c r="B512" s="375"/>
      <c r="C512" s="376"/>
      <c r="G512" s="378"/>
      <c r="H512" s="378"/>
      <c r="J512" s="379"/>
      <c r="K512" s="380"/>
      <c r="L512" s="381"/>
    </row>
    <row r="513" spans="2:12" s="377" customFormat="1">
      <c r="B513" s="375"/>
      <c r="C513" s="376"/>
      <c r="G513" s="378"/>
      <c r="H513" s="378"/>
      <c r="J513" s="379"/>
      <c r="K513" s="380"/>
      <c r="L513" s="381"/>
    </row>
    <row r="514" spans="2:12" s="377" customFormat="1">
      <c r="B514" s="375"/>
      <c r="C514" s="376"/>
      <c r="G514" s="378"/>
      <c r="H514" s="378"/>
      <c r="J514" s="379"/>
      <c r="K514" s="380"/>
      <c r="L514" s="381"/>
    </row>
    <row r="515" spans="2:12" s="377" customFormat="1">
      <c r="B515" s="375"/>
      <c r="C515" s="376"/>
      <c r="G515" s="378"/>
      <c r="H515" s="378"/>
      <c r="J515" s="379"/>
      <c r="K515" s="380"/>
      <c r="L515" s="381"/>
    </row>
    <row r="516" spans="2:12" s="377" customFormat="1">
      <c r="B516" s="375"/>
      <c r="C516" s="376"/>
      <c r="G516" s="378"/>
      <c r="H516" s="378"/>
      <c r="J516" s="379"/>
      <c r="K516" s="380"/>
      <c r="L516" s="381"/>
    </row>
    <row r="517" spans="2:12" s="377" customFormat="1">
      <c r="B517" s="375"/>
      <c r="C517" s="376"/>
      <c r="G517" s="378"/>
      <c r="H517" s="378"/>
      <c r="J517" s="379"/>
      <c r="K517" s="380"/>
      <c r="L517" s="381"/>
    </row>
    <row r="518" spans="2:12" s="377" customFormat="1">
      <c r="B518" s="375"/>
      <c r="C518" s="376"/>
      <c r="G518" s="378"/>
      <c r="H518" s="378"/>
      <c r="J518" s="379"/>
      <c r="K518" s="380"/>
      <c r="L518" s="381"/>
    </row>
    <row r="519" spans="2:12" s="377" customFormat="1">
      <c r="B519" s="375"/>
      <c r="C519" s="376"/>
      <c r="G519" s="378"/>
      <c r="H519" s="378"/>
      <c r="J519" s="379"/>
      <c r="K519" s="380"/>
      <c r="L519" s="381"/>
    </row>
    <row r="520" spans="2:12" s="377" customFormat="1">
      <c r="B520" s="375"/>
      <c r="C520" s="376"/>
      <c r="G520" s="378"/>
      <c r="H520" s="378"/>
      <c r="J520" s="379"/>
      <c r="K520" s="380"/>
      <c r="L520" s="381"/>
    </row>
    <row r="521" spans="2:12" s="377" customFormat="1">
      <c r="B521" s="375"/>
      <c r="C521" s="376"/>
      <c r="G521" s="378"/>
      <c r="H521" s="378"/>
      <c r="J521" s="379"/>
      <c r="K521" s="380"/>
      <c r="L521" s="381"/>
    </row>
    <row r="522" spans="2:12" s="377" customFormat="1">
      <c r="B522" s="375"/>
      <c r="C522" s="376"/>
      <c r="G522" s="378"/>
      <c r="H522" s="378"/>
      <c r="J522" s="379"/>
      <c r="K522" s="380"/>
      <c r="L522" s="381"/>
    </row>
    <row r="523" spans="2:12" s="377" customFormat="1">
      <c r="B523" s="375"/>
      <c r="C523" s="376"/>
      <c r="G523" s="378"/>
      <c r="H523" s="378"/>
      <c r="J523" s="379"/>
      <c r="K523" s="380"/>
      <c r="L523" s="381"/>
    </row>
    <row r="524" spans="2:12" s="377" customFormat="1">
      <c r="B524" s="375"/>
      <c r="C524" s="376"/>
      <c r="G524" s="378"/>
      <c r="H524" s="378"/>
      <c r="J524" s="379"/>
      <c r="K524" s="380"/>
      <c r="L524" s="381"/>
    </row>
    <row r="525" spans="2:12" s="377" customFormat="1">
      <c r="B525" s="375"/>
      <c r="C525" s="376"/>
      <c r="G525" s="378"/>
      <c r="H525" s="378"/>
      <c r="J525" s="379"/>
      <c r="K525" s="380"/>
      <c r="L525" s="381"/>
    </row>
    <row r="526" spans="2:12" s="377" customFormat="1">
      <c r="B526" s="375"/>
      <c r="C526" s="376"/>
      <c r="G526" s="378"/>
      <c r="H526" s="378"/>
      <c r="J526" s="379"/>
      <c r="K526" s="380"/>
      <c r="L526" s="381"/>
    </row>
    <row r="527" spans="2:12" s="377" customFormat="1">
      <c r="B527" s="375"/>
      <c r="C527" s="376"/>
      <c r="G527" s="378"/>
      <c r="H527" s="378"/>
      <c r="J527" s="379"/>
      <c r="K527" s="380"/>
      <c r="L527" s="381"/>
    </row>
    <row r="528" spans="2:12" s="377" customFormat="1">
      <c r="B528" s="375"/>
      <c r="C528" s="376"/>
      <c r="G528" s="378"/>
      <c r="H528" s="378"/>
      <c r="J528" s="379"/>
      <c r="K528" s="380"/>
      <c r="L528" s="381"/>
    </row>
    <row r="529" spans="2:12" s="377" customFormat="1">
      <c r="B529" s="375"/>
      <c r="C529" s="376"/>
      <c r="G529" s="378"/>
      <c r="H529" s="378"/>
      <c r="J529" s="379"/>
      <c r="K529" s="380"/>
      <c r="L529" s="381"/>
    </row>
    <row r="530" spans="2:12" s="377" customFormat="1">
      <c r="B530" s="375"/>
      <c r="C530" s="376"/>
      <c r="G530" s="378"/>
      <c r="H530" s="378"/>
      <c r="J530" s="379"/>
      <c r="K530" s="380"/>
      <c r="L530" s="381"/>
    </row>
    <row r="531" spans="2:12" s="377" customFormat="1">
      <c r="B531" s="375"/>
      <c r="C531" s="376"/>
      <c r="G531" s="378"/>
      <c r="H531" s="378"/>
      <c r="J531" s="379"/>
      <c r="K531" s="380"/>
      <c r="L531" s="381"/>
    </row>
    <row r="532" spans="2:12" s="377" customFormat="1">
      <c r="B532" s="375"/>
      <c r="C532" s="376"/>
      <c r="G532" s="378"/>
      <c r="H532" s="378"/>
      <c r="J532" s="379"/>
      <c r="K532" s="380"/>
      <c r="L532" s="381"/>
    </row>
    <row r="533" spans="2:12" s="377" customFormat="1">
      <c r="B533" s="375"/>
      <c r="C533" s="376"/>
      <c r="G533" s="378"/>
      <c r="H533" s="378"/>
      <c r="J533" s="379"/>
      <c r="K533" s="380"/>
      <c r="L533" s="381"/>
    </row>
    <row r="534" spans="2:12" s="377" customFormat="1">
      <c r="B534" s="375"/>
      <c r="C534" s="376"/>
      <c r="G534" s="378"/>
      <c r="H534" s="378"/>
      <c r="J534" s="379"/>
      <c r="K534" s="380"/>
      <c r="L534" s="381"/>
    </row>
    <row r="535" spans="2:12" s="377" customFormat="1">
      <c r="B535" s="375"/>
      <c r="C535" s="376"/>
      <c r="G535" s="378"/>
      <c r="H535" s="378"/>
      <c r="J535" s="379"/>
      <c r="K535" s="380"/>
      <c r="L535" s="381"/>
    </row>
    <row r="536" spans="2:12" s="377" customFormat="1">
      <c r="B536" s="375"/>
      <c r="C536" s="376"/>
      <c r="G536" s="378"/>
      <c r="H536" s="378"/>
      <c r="J536" s="379"/>
      <c r="K536" s="380"/>
      <c r="L536" s="381"/>
    </row>
    <row r="537" spans="2:12" s="377" customFormat="1">
      <c r="B537" s="375"/>
      <c r="C537" s="376"/>
      <c r="G537" s="378"/>
      <c r="H537" s="378"/>
      <c r="J537" s="379"/>
      <c r="K537" s="380"/>
      <c r="L537" s="381"/>
    </row>
    <row r="538" spans="2:12" s="377" customFormat="1">
      <c r="B538" s="375"/>
      <c r="C538" s="376"/>
      <c r="G538" s="378"/>
      <c r="H538" s="378"/>
      <c r="J538" s="379"/>
      <c r="K538" s="380"/>
      <c r="L538" s="381"/>
    </row>
    <row r="539" spans="2:12" s="377" customFormat="1">
      <c r="B539" s="375"/>
      <c r="C539" s="376"/>
      <c r="G539" s="378"/>
      <c r="H539" s="378"/>
      <c r="J539" s="379"/>
      <c r="K539" s="380"/>
      <c r="L539" s="381"/>
    </row>
    <row r="540" spans="2:12" s="377" customFormat="1">
      <c r="B540" s="375"/>
      <c r="C540" s="376"/>
      <c r="G540" s="378"/>
      <c r="H540" s="378"/>
      <c r="J540" s="379"/>
      <c r="K540" s="380"/>
      <c r="L540" s="381"/>
    </row>
    <row r="541" spans="2:12" s="377" customFormat="1">
      <c r="B541" s="375"/>
      <c r="C541" s="376"/>
      <c r="G541" s="378"/>
      <c r="H541" s="378"/>
      <c r="J541" s="379"/>
      <c r="K541" s="380"/>
      <c r="L541" s="381"/>
    </row>
    <row r="542" spans="2:12" s="377" customFormat="1">
      <c r="B542" s="375"/>
      <c r="C542" s="376"/>
      <c r="G542" s="378"/>
      <c r="H542" s="378"/>
      <c r="J542" s="379"/>
      <c r="K542" s="380"/>
      <c r="L542" s="381"/>
    </row>
    <row r="543" spans="2:12" s="377" customFormat="1">
      <c r="B543" s="375"/>
      <c r="C543" s="376"/>
      <c r="G543" s="378"/>
      <c r="H543" s="378"/>
      <c r="J543" s="379"/>
      <c r="K543" s="380"/>
      <c r="L543" s="381"/>
    </row>
    <row r="544" spans="2:12" s="377" customFormat="1">
      <c r="B544" s="375"/>
      <c r="C544" s="376"/>
      <c r="G544" s="378"/>
      <c r="H544" s="378"/>
      <c r="J544" s="379"/>
      <c r="K544" s="380"/>
      <c r="L544" s="381"/>
    </row>
    <row r="545" spans="2:12" s="377" customFormat="1">
      <c r="B545" s="375"/>
      <c r="C545" s="376"/>
      <c r="G545" s="378"/>
      <c r="H545" s="378"/>
      <c r="J545" s="379"/>
      <c r="K545" s="380"/>
      <c r="L545" s="381"/>
    </row>
    <row r="546" spans="2:12" s="377" customFormat="1">
      <c r="B546" s="375"/>
      <c r="C546" s="376"/>
      <c r="G546" s="378"/>
      <c r="H546" s="378"/>
      <c r="J546" s="379"/>
      <c r="K546" s="380"/>
      <c r="L546" s="381"/>
    </row>
    <row r="547" spans="2:12" s="377" customFormat="1">
      <c r="B547" s="375"/>
      <c r="C547" s="376"/>
      <c r="G547" s="378"/>
      <c r="H547" s="378"/>
      <c r="J547" s="379"/>
      <c r="K547" s="380"/>
      <c r="L547" s="381"/>
    </row>
    <row r="548" spans="2:12" s="377" customFormat="1">
      <c r="B548" s="375"/>
      <c r="C548" s="376"/>
      <c r="G548" s="378"/>
      <c r="H548" s="378"/>
      <c r="J548" s="379"/>
      <c r="K548" s="380"/>
      <c r="L548" s="381"/>
    </row>
    <row r="549" spans="2:12" s="377" customFormat="1">
      <c r="B549" s="375"/>
      <c r="C549" s="376"/>
      <c r="G549" s="378"/>
      <c r="H549" s="378"/>
      <c r="J549" s="379"/>
      <c r="K549" s="380"/>
      <c r="L549" s="381"/>
    </row>
    <row r="550" spans="2:12" s="377" customFormat="1">
      <c r="B550" s="375"/>
      <c r="C550" s="376"/>
      <c r="G550" s="378"/>
      <c r="H550" s="378"/>
      <c r="J550" s="379"/>
      <c r="K550" s="380"/>
      <c r="L550" s="381"/>
    </row>
    <row r="551" spans="2:12" s="377" customFormat="1">
      <c r="B551" s="375"/>
      <c r="C551" s="376"/>
      <c r="G551" s="378"/>
      <c r="H551" s="378"/>
      <c r="J551" s="379"/>
      <c r="K551" s="380"/>
      <c r="L551" s="381"/>
    </row>
    <row r="552" spans="2:12" s="377" customFormat="1">
      <c r="B552" s="375"/>
      <c r="C552" s="376"/>
      <c r="G552" s="378"/>
      <c r="H552" s="378"/>
      <c r="J552" s="379"/>
      <c r="K552" s="380"/>
      <c r="L552" s="381"/>
    </row>
    <row r="553" spans="2:12" s="377" customFormat="1">
      <c r="B553" s="375"/>
      <c r="C553" s="376"/>
      <c r="G553" s="378"/>
      <c r="H553" s="378"/>
      <c r="J553" s="379"/>
      <c r="K553" s="380"/>
      <c r="L553" s="381"/>
    </row>
    <row r="554" spans="2:12" s="377" customFormat="1">
      <c r="B554" s="375"/>
      <c r="C554" s="376"/>
      <c r="G554" s="378"/>
      <c r="H554" s="378"/>
      <c r="J554" s="379"/>
      <c r="K554" s="380"/>
      <c r="L554" s="381"/>
    </row>
    <row r="555" spans="2:12" s="377" customFormat="1">
      <c r="B555" s="375"/>
      <c r="C555" s="376"/>
      <c r="G555" s="378"/>
      <c r="H555" s="378"/>
      <c r="J555" s="379"/>
      <c r="K555" s="380"/>
      <c r="L555" s="381"/>
    </row>
    <row r="556" spans="2:12" s="377" customFormat="1">
      <c r="B556" s="375"/>
      <c r="C556" s="376"/>
      <c r="G556" s="378"/>
      <c r="H556" s="378"/>
      <c r="J556" s="379"/>
      <c r="K556" s="380"/>
      <c r="L556" s="381"/>
    </row>
    <row r="557" spans="2:12" s="377" customFormat="1">
      <c r="B557" s="375"/>
      <c r="C557" s="376"/>
      <c r="G557" s="378"/>
      <c r="H557" s="378"/>
      <c r="J557" s="379"/>
      <c r="K557" s="380"/>
      <c r="L557" s="381"/>
    </row>
    <row r="558" spans="2:12" s="377" customFormat="1">
      <c r="B558" s="375"/>
      <c r="C558" s="376"/>
      <c r="G558" s="378"/>
      <c r="H558" s="378"/>
      <c r="J558" s="379"/>
      <c r="K558" s="380"/>
      <c r="L558" s="381"/>
    </row>
    <row r="559" spans="2:12" s="377" customFormat="1">
      <c r="B559" s="375"/>
      <c r="C559" s="376"/>
      <c r="G559" s="378"/>
      <c r="H559" s="378"/>
      <c r="J559" s="379"/>
      <c r="K559" s="380"/>
      <c r="L559" s="381"/>
    </row>
    <row r="560" spans="2:12" s="377" customFormat="1">
      <c r="B560" s="375"/>
      <c r="C560" s="376"/>
      <c r="G560" s="378"/>
      <c r="H560" s="378"/>
      <c r="J560" s="379"/>
      <c r="K560" s="380"/>
      <c r="L560" s="381"/>
    </row>
    <row r="561" spans="2:12" s="377" customFormat="1">
      <c r="B561" s="375"/>
      <c r="C561" s="376"/>
      <c r="G561" s="378"/>
      <c r="H561" s="378"/>
      <c r="J561" s="379"/>
      <c r="K561" s="380"/>
      <c r="L561" s="381"/>
    </row>
    <row r="562" spans="2:12" s="377" customFormat="1">
      <c r="B562" s="375"/>
      <c r="C562" s="376"/>
      <c r="G562" s="378"/>
      <c r="H562" s="378"/>
      <c r="J562" s="379"/>
      <c r="K562" s="380"/>
      <c r="L562" s="381"/>
    </row>
    <row r="563" spans="2:12" s="377" customFormat="1">
      <c r="B563" s="375"/>
      <c r="C563" s="376"/>
      <c r="G563" s="378"/>
      <c r="H563" s="378"/>
      <c r="J563" s="379"/>
      <c r="K563" s="380"/>
      <c r="L563" s="381"/>
    </row>
    <row r="564" spans="2:12" s="377" customFormat="1">
      <c r="B564" s="375"/>
      <c r="C564" s="376"/>
      <c r="G564" s="378"/>
      <c r="H564" s="378"/>
      <c r="J564" s="379"/>
      <c r="K564" s="380"/>
      <c r="L564" s="381"/>
    </row>
    <row r="565" spans="2:12" s="377" customFormat="1">
      <c r="B565" s="375"/>
      <c r="C565" s="376"/>
      <c r="G565" s="378"/>
      <c r="H565" s="378"/>
      <c r="J565" s="379"/>
      <c r="K565" s="380"/>
      <c r="L565" s="381"/>
    </row>
    <row r="566" spans="2:12" s="377" customFormat="1">
      <c r="B566" s="375"/>
      <c r="C566" s="376"/>
      <c r="G566" s="378"/>
      <c r="H566" s="378"/>
      <c r="J566" s="379"/>
      <c r="K566" s="380"/>
      <c r="L566" s="381"/>
    </row>
    <row r="567" spans="2:12" s="377" customFormat="1">
      <c r="B567" s="375"/>
      <c r="C567" s="376"/>
      <c r="G567" s="378"/>
      <c r="H567" s="378"/>
      <c r="J567" s="379"/>
      <c r="K567" s="380"/>
      <c r="L567" s="381"/>
    </row>
    <row r="568" spans="2:12" s="377" customFormat="1">
      <c r="B568" s="375"/>
      <c r="C568" s="376"/>
      <c r="G568" s="378"/>
      <c r="H568" s="378"/>
      <c r="J568" s="379"/>
      <c r="K568" s="380"/>
      <c r="L568" s="381"/>
    </row>
    <row r="569" spans="2:12" s="377" customFormat="1">
      <c r="B569" s="375"/>
      <c r="C569" s="376"/>
      <c r="G569" s="378"/>
      <c r="H569" s="378"/>
      <c r="J569" s="379"/>
      <c r="K569" s="380"/>
      <c r="L569" s="381"/>
    </row>
    <row r="570" spans="2:12" s="377" customFormat="1">
      <c r="B570" s="375"/>
      <c r="C570" s="376"/>
      <c r="G570" s="378"/>
      <c r="H570" s="378"/>
      <c r="J570" s="379"/>
      <c r="K570" s="380"/>
      <c r="L570" s="381"/>
    </row>
    <row r="571" spans="2:12" s="377" customFormat="1">
      <c r="B571" s="375"/>
      <c r="C571" s="376"/>
      <c r="G571" s="378"/>
      <c r="H571" s="378"/>
      <c r="J571" s="379"/>
      <c r="K571" s="380"/>
      <c r="L571" s="381"/>
    </row>
    <row r="572" spans="2:12" s="377" customFormat="1">
      <c r="B572" s="375"/>
      <c r="C572" s="376"/>
      <c r="G572" s="378"/>
      <c r="H572" s="378"/>
      <c r="J572" s="379"/>
      <c r="K572" s="380"/>
      <c r="L572" s="381"/>
    </row>
    <row r="573" spans="2:12" s="377" customFormat="1">
      <c r="B573" s="375"/>
      <c r="C573" s="376"/>
      <c r="G573" s="378"/>
      <c r="H573" s="378"/>
      <c r="J573" s="379"/>
      <c r="K573" s="380"/>
      <c r="L573" s="381"/>
    </row>
    <row r="574" spans="2:12" s="377" customFormat="1">
      <c r="B574" s="375"/>
      <c r="C574" s="376"/>
      <c r="G574" s="378"/>
      <c r="H574" s="378"/>
      <c r="J574" s="379"/>
      <c r="K574" s="380"/>
      <c r="L574" s="381"/>
    </row>
    <row r="575" spans="2:12" s="377" customFormat="1">
      <c r="B575" s="375"/>
      <c r="C575" s="376"/>
      <c r="G575" s="378"/>
      <c r="H575" s="378"/>
      <c r="J575" s="379"/>
      <c r="K575" s="380"/>
      <c r="L575" s="381"/>
    </row>
    <row r="576" spans="2:12" s="377" customFormat="1">
      <c r="B576" s="375"/>
      <c r="C576" s="376"/>
      <c r="G576" s="378"/>
      <c r="H576" s="378"/>
      <c r="J576" s="379"/>
      <c r="K576" s="380"/>
      <c r="L576" s="381"/>
    </row>
    <row r="577" spans="2:12" s="377" customFormat="1">
      <c r="B577" s="375"/>
      <c r="C577" s="376"/>
      <c r="G577" s="378"/>
      <c r="H577" s="378"/>
      <c r="J577" s="379"/>
      <c r="K577" s="380"/>
      <c r="L577" s="381"/>
    </row>
    <row r="578" spans="2:12" s="377" customFormat="1">
      <c r="B578" s="375"/>
      <c r="C578" s="376"/>
      <c r="G578" s="378"/>
      <c r="H578" s="378"/>
      <c r="J578" s="379"/>
      <c r="K578" s="380"/>
      <c r="L578" s="381"/>
    </row>
    <row r="579" spans="2:12" s="377" customFormat="1">
      <c r="B579" s="375"/>
      <c r="C579" s="376"/>
      <c r="G579" s="378"/>
      <c r="H579" s="378"/>
      <c r="J579" s="379"/>
      <c r="K579" s="380"/>
      <c r="L579" s="381"/>
    </row>
    <row r="580" spans="2:12" s="377" customFormat="1">
      <c r="B580" s="375"/>
      <c r="C580" s="376"/>
      <c r="G580" s="378"/>
      <c r="H580" s="378"/>
      <c r="J580" s="379"/>
      <c r="K580" s="380"/>
      <c r="L580" s="381"/>
    </row>
    <row r="581" spans="2:12" s="377" customFormat="1">
      <c r="B581" s="375"/>
      <c r="C581" s="376"/>
      <c r="G581" s="378"/>
      <c r="H581" s="378"/>
      <c r="J581" s="379"/>
      <c r="K581" s="380"/>
      <c r="L581" s="381"/>
    </row>
    <row r="582" spans="2:12" s="377" customFormat="1">
      <c r="B582" s="375"/>
      <c r="C582" s="376"/>
      <c r="G582" s="378"/>
      <c r="H582" s="378"/>
      <c r="J582" s="379"/>
      <c r="K582" s="380"/>
      <c r="L582" s="381"/>
    </row>
    <row r="583" spans="2:12" s="377" customFormat="1">
      <c r="B583" s="375"/>
      <c r="C583" s="376"/>
      <c r="G583" s="378"/>
      <c r="H583" s="378"/>
      <c r="J583" s="379"/>
      <c r="K583" s="380"/>
      <c r="L583" s="381"/>
    </row>
    <row r="584" spans="2:12" s="377" customFormat="1">
      <c r="B584" s="375"/>
      <c r="C584" s="376"/>
      <c r="G584" s="378"/>
      <c r="H584" s="378"/>
      <c r="J584" s="379"/>
      <c r="K584" s="380"/>
      <c r="L584" s="381"/>
    </row>
    <row r="585" spans="2:12" s="377" customFormat="1">
      <c r="B585" s="375"/>
      <c r="C585" s="376"/>
      <c r="G585" s="378"/>
      <c r="H585" s="378"/>
      <c r="J585" s="379"/>
      <c r="K585" s="380"/>
      <c r="L585" s="381"/>
    </row>
    <row r="586" spans="2:12" s="377" customFormat="1">
      <c r="B586" s="375"/>
      <c r="C586" s="376"/>
      <c r="G586" s="378"/>
      <c r="H586" s="378"/>
      <c r="J586" s="379"/>
      <c r="K586" s="380"/>
      <c r="L586" s="381"/>
    </row>
    <row r="587" spans="2:12" s="377" customFormat="1">
      <c r="B587" s="375"/>
      <c r="C587" s="376"/>
      <c r="G587" s="378"/>
      <c r="H587" s="378"/>
      <c r="J587" s="379"/>
      <c r="K587" s="380"/>
      <c r="L587" s="381"/>
    </row>
    <row r="588" spans="2:12" s="377" customFormat="1">
      <c r="B588" s="375"/>
      <c r="C588" s="376"/>
      <c r="G588" s="378"/>
      <c r="H588" s="378"/>
      <c r="J588" s="379"/>
      <c r="K588" s="380"/>
      <c r="L588" s="381"/>
    </row>
    <row r="589" spans="2:12" s="377" customFormat="1">
      <c r="B589" s="375"/>
      <c r="C589" s="376"/>
      <c r="G589" s="378"/>
      <c r="H589" s="378"/>
      <c r="J589" s="379"/>
      <c r="K589" s="380"/>
      <c r="L589" s="381"/>
    </row>
    <row r="590" spans="2:12" s="377" customFormat="1">
      <c r="B590" s="375"/>
      <c r="C590" s="376"/>
      <c r="G590" s="378"/>
      <c r="H590" s="378"/>
      <c r="J590" s="379"/>
      <c r="K590" s="380"/>
      <c r="L590" s="381"/>
    </row>
    <row r="591" spans="2:12" s="377" customFormat="1">
      <c r="B591" s="375"/>
      <c r="C591" s="376"/>
      <c r="G591" s="378"/>
      <c r="H591" s="378"/>
      <c r="J591" s="379"/>
      <c r="K591" s="380"/>
      <c r="L591" s="381"/>
    </row>
    <row r="592" spans="2:12" s="377" customFormat="1">
      <c r="B592" s="375"/>
      <c r="C592" s="376"/>
      <c r="G592" s="378"/>
      <c r="H592" s="378"/>
      <c r="J592" s="379"/>
      <c r="K592" s="380"/>
      <c r="L592" s="381"/>
    </row>
    <row r="593" spans="2:12" s="377" customFormat="1">
      <c r="B593" s="375"/>
      <c r="C593" s="376"/>
      <c r="G593" s="378"/>
      <c r="H593" s="378"/>
      <c r="J593" s="379"/>
      <c r="K593" s="380"/>
      <c r="L593" s="381"/>
    </row>
    <row r="594" spans="2:12" s="377" customFormat="1">
      <c r="B594" s="375"/>
      <c r="C594" s="376"/>
      <c r="G594" s="378"/>
      <c r="H594" s="378"/>
      <c r="J594" s="379"/>
      <c r="K594" s="380"/>
      <c r="L594" s="381"/>
    </row>
    <row r="595" spans="2:12" s="377" customFormat="1">
      <c r="B595" s="375"/>
      <c r="C595" s="376"/>
      <c r="G595" s="378"/>
      <c r="H595" s="378"/>
      <c r="J595" s="379"/>
      <c r="K595" s="380"/>
      <c r="L595" s="381"/>
    </row>
    <row r="596" spans="2:12" s="377" customFormat="1">
      <c r="B596" s="375"/>
      <c r="C596" s="376"/>
      <c r="G596" s="378"/>
      <c r="H596" s="378"/>
      <c r="J596" s="379"/>
      <c r="K596" s="380"/>
      <c r="L596" s="381"/>
    </row>
    <row r="597" spans="2:12" s="377" customFormat="1">
      <c r="B597" s="375"/>
      <c r="C597" s="376"/>
      <c r="G597" s="378"/>
      <c r="H597" s="378"/>
      <c r="J597" s="379"/>
      <c r="K597" s="380"/>
      <c r="L597" s="381"/>
    </row>
    <row r="598" spans="2:12" s="377" customFormat="1">
      <c r="B598" s="375"/>
      <c r="C598" s="376"/>
      <c r="G598" s="378"/>
      <c r="H598" s="378"/>
      <c r="J598" s="379"/>
      <c r="K598" s="380"/>
      <c r="L598" s="381"/>
    </row>
    <row r="599" spans="2:12" s="377" customFormat="1">
      <c r="B599" s="375"/>
      <c r="C599" s="376"/>
      <c r="G599" s="378"/>
      <c r="H599" s="378"/>
      <c r="J599" s="379"/>
      <c r="K599" s="380"/>
      <c r="L599" s="381"/>
    </row>
    <row r="600" spans="2:12" s="377" customFormat="1">
      <c r="B600" s="375"/>
      <c r="C600" s="376"/>
      <c r="G600" s="378"/>
      <c r="H600" s="378"/>
      <c r="J600" s="379"/>
      <c r="K600" s="380"/>
      <c r="L600" s="381"/>
    </row>
    <row r="601" spans="2:12" s="377" customFormat="1">
      <c r="B601" s="375"/>
      <c r="C601" s="376"/>
      <c r="G601" s="378"/>
      <c r="H601" s="378"/>
      <c r="J601" s="379"/>
      <c r="K601" s="380"/>
      <c r="L601" s="381"/>
    </row>
    <row r="602" spans="2:12" s="377" customFormat="1">
      <c r="B602" s="375"/>
      <c r="C602" s="376"/>
      <c r="G602" s="378"/>
      <c r="H602" s="378"/>
      <c r="J602" s="379"/>
      <c r="K602" s="380"/>
      <c r="L602" s="381"/>
    </row>
    <row r="603" spans="2:12" s="377" customFormat="1">
      <c r="B603" s="375"/>
      <c r="C603" s="376"/>
      <c r="G603" s="378"/>
      <c r="H603" s="378"/>
      <c r="J603" s="379"/>
      <c r="K603" s="380"/>
      <c r="L603" s="381"/>
    </row>
    <row r="604" spans="2:12" s="377" customFormat="1">
      <c r="B604" s="375"/>
      <c r="C604" s="376"/>
      <c r="G604" s="378"/>
      <c r="H604" s="378"/>
      <c r="J604" s="379"/>
      <c r="K604" s="380"/>
      <c r="L604" s="381"/>
    </row>
    <row r="605" spans="2:12" s="377" customFormat="1">
      <c r="B605" s="375"/>
      <c r="C605" s="376"/>
      <c r="G605" s="378"/>
      <c r="H605" s="378"/>
      <c r="J605" s="379"/>
      <c r="K605" s="380"/>
      <c r="L605" s="381"/>
    </row>
    <row r="606" spans="2:12" s="377" customFormat="1">
      <c r="B606" s="375"/>
      <c r="C606" s="376"/>
      <c r="G606" s="378"/>
      <c r="H606" s="378"/>
      <c r="J606" s="379"/>
      <c r="K606" s="380"/>
      <c r="L606" s="381"/>
    </row>
    <row r="607" spans="2:12" s="377" customFormat="1">
      <c r="B607" s="375"/>
      <c r="C607" s="376"/>
      <c r="G607" s="378"/>
      <c r="H607" s="378"/>
      <c r="J607" s="379"/>
      <c r="K607" s="380"/>
      <c r="L607" s="381"/>
    </row>
    <row r="608" spans="2:12" s="377" customFormat="1">
      <c r="B608" s="375"/>
      <c r="C608" s="376"/>
      <c r="G608" s="378"/>
      <c r="H608" s="378"/>
      <c r="J608" s="379"/>
      <c r="K608" s="380"/>
      <c r="L608" s="381"/>
    </row>
    <row r="609" spans="2:12" s="377" customFormat="1">
      <c r="B609" s="375"/>
      <c r="C609" s="376"/>
      <c r="G609" s="378"/>
      <c r="H609" s="378"/>
      <c r="J609" s="379"/>
      <c r="K609" s="380"/>
      <c r="L609" s="381"/>
    </row>
    <row r="610" spans="2:12" s="377" customFormat="1">
      <c r="B610" s="375"/>
      <c r="C610" s="376"/>
      <c r="G610" s="378"/>
      <c r="H610" s="378"/>
      <c r="J610" s="379"/>
      <c r="K610" s="380"/>
      <c r="L610" s="381"/>
    </row>
    <row r="611" spans="2:12" s="377" customFormat="1">
      <c r="B611" s="375"/>
      <c r="C611" s="376"/>
      <c r="G611" s="378"/>
      <c r="H611" s="378"/>
      <c r="J611" s="379"/>
      <c r="K611" s="380"/>
      <c r="L611" s="381"/>
    </row>
    <row r="612" spans="2:12" s="377" customFormat="1">
      <c r="B612" s="375"/>
      <c r="C612" s="376"/>
      <c r="G612" s="378"/>
      <c r="H612" s="378"/>
      <c r="J612" s="379"/>
      <c r="K612" s="380"/>
      <c r="L612" s="381"/>
    </row>
    <row r="613" spans="2:12" s="377" customFormat="1">
      <c r="B613" s="375"/>
      <c r="C613" s="376"/>
      <c r="G613" s="378"/>
      <c r="H613" s="378"/>
      <c r="J613" s="379"/>
      <c r="K613" s="380"/>
      <c r="L613" s="381"/>
    </row>
    <row r="614" spans="2:12" s="377" customFormat="1">
      <c r="B614" s="375"/>
      <c r="C614" s="376"/>
      <c r="G614" s="378"/>
      <c r="H614" s="378"/>
      <c r="J614" s="379"/>
      <c r="K614" s="380"/>
      <c r="L614" s="381"/>
    </row>
    <row r="615" spans="2:12" s="377" customFormat="1">
      <c r="B615" s="375"/>
      <c r="C615" s="376"/>
      <c r="G615" s="378"/>
      <c r="H615" s="378"/>
      <c r="J615" s="379"/>
      <c r="K615" s="380"/>
      <c r="L615" s="381"/>
    </row>
    <row r="616" spans="2:12" s="377" customFormat="1">
      <c r="B616" s="375"/>
      <c r="C616" s="376"/>
      <c r="G616" s="378"/>
      <c r="H616" s="378"/>
      <c r="J616" s="379"/>
      <c r="K616" s="380"/>
      <c r="L616" s="381"/>
    </row>
    <row r="617" spans="2:12" s="377" customFormat="1">
      <c r="B617" s="375"/>
      <c r="C617" s="376"/>
      <c r="G617" s="378"/>
      <c r="H617" s="378"/>
      <c r="J617" s="379"/>
      <c r="K617" s="380"/>
      <c r="L617" s="381"/>
    </row>
    <row r="618" spans="2:12" s="377" customFormat="1">
      <c r="B618" s="375"/>
      <c r="C618" s="376"/>
      <c r="G618" s="378"/>
      <c r="H618" s="378"/>
      <c r="J618" s="379"/>
      <c r="K618" s="380"/>
      <c r="L618" s="381"/>
    </row>
    <row r="619" spans="2:12" s="377" customFormat="1">
      <c r="B619" s="375"/>
      <c r="C619" s="376"/>
      <c r="G619" s="378"/>
      <c r="H619" s="378"/>
      <c r="J619" s="379"/>
      <c r="K619" s="380"/>
      <c r="L619" s="381"/>
    </row>
    <row r="620" spans="2:12" s="377" customFormat="1">
      <c r="B620" s="375"/>
      <c r="C620" s="376"/>
      <c r="G620" s="378"/>
      <c r="H620" s="378"/>
      <c r="J620" s="379"/>
      <c r="K620" s="380"/>
      <c r="L620" s="381"/>
    </row>
    <row r="621" spans="2:12" s="377" customFormat="1">
      <c r="B621" s="375"/>
      <c r="C621" s="376"/>
      <c r="G621" s="378"/>
      <c r="H621" s="378"/>
      <c r="J621" s="379"/>
      <c r="K621" s="380"/>
      <c r="L621" s="381"/>
    </row>
    <row r="622" spans="2:12" s="377" customFormat="1">
      <c r="B622" s="375"/>
      <c r="C622" s="376"/>
      <c r="G622" s="378"/>
      <c r="H622" s="378"/>
      <c r="J622" s="379"/>
      <c r="K622" s="380"/>
      <c r="L622" s="381"/>
    </row>
    <row r="623" spans="2:12" s="377" customFormat="1">
      <c r="B623" s="375"/>
      <c r="C623" s="376"/>
      <c r="G623" s="378"/>
      <c r="H623" s="378"/>
      <c r="J623" s="379"/>
      <c r="K623" s="380"/>
      <c r="L623" s="381"/>
    </row>
    <row r="624" spans="2:12" s="377" customFormat="1">
      <c r="B624" s="375"/>
      <c r="C624" s="376"/>
      <c r="G624" s="378"/>
      <c r="H624" s="378"/>
      <c r="J624" s="379"/>
      <c r="K624" s="380"/>
      <c r="L624" s="381"/>
    </row>
    <row r="625" spans="2:12" s="377" customFormat="1">
      <c r="B625" s="375"/>
      <c r="C625" s="376"/>
      <c r="G625" s="378"/>
      <c r="H625" s="378"/>
      <c r="J625" s="379"/>
      <c r="K625" s="380"/>
      <c r="L625" s="381"/>
    </row>
    <row r="626" spans="2:12" s="377" customFormat="1">
      <c r="B626" s="375"/>
      <c r="C626" s="376"/>
      <c r="G626" s="378"/>
      <c r="H626" s="378"/>
      <c r="J626" s="379"/>
      <c r="K626" s="380"/>
      <c r="L626" s="381"/>
    </row>
    <row r="627" spans="2:12" s="377" customFormat="1">
      <c r="B627" s="375"/>
      <c r="C627" s="376"/>
      <c r="G627" s="378"/>
      <c r="H627" s="378"/>
      <c r="J627" s="379"/>
      <c r="K627" s="380"/>
      <c r="L627" s="381"/>
    </row>
    <row r="628" spans="2:12" s="377" customFormat="1">
      <c r="B628" s="375"/>
      <c r="C628" s="376"/>
      <c r="G628" s="378"/>
      <c r="H628" s="378"/>
      <c r="J628" s="379"/>
      <c r="K628" s="380"/>
      <c r="L628" s="381"/>
    </row>
    <row r="629" spans="2:12" s="377" customFormat="1">
      <c r="B629" s="375"/>
      <c r="C629" s="376"/>
      <c r="G629" s="378"/>
      <c r="H629" s="378"/>
      <c r="J629" s="379"/>
      <c r="K629" s="380"/>
      <c r="L629" s="381"/>
    </row>
    <row r="630" spans="2:12" s="377" customFormat="1">
      <c r="B630" s="375"/>
      <c r="C630" s="376"/>
      <c r="G630" s="378"/>
      <c r="H630" s="378"/>
      <c r="J630" s="379"/>
      <c r="K630" s="380"/>
      <c r="L630" s="381"/>
    </row>
    <row r="631" spans="2:12" s="377" customFormat="1">
      <c r="B631" s="375"/>
      <c r="C631" s="376"/>
      <c r="G631" s="378"/>
      <c r="H631" s="378"/>
      <c r="J631" s="379"/>
      <c r="K631" s="380"/>
      <c r="L631" s="381"/>
    </row>
    <row r="632" spans="2:12" s="377" customFormat="1">
      <c r="B632" s="375"/>
      <c r="C632" s="376"/>
      <c r="G632" s="378"/>
      <c r="H632" s="378"/>
      <c r="J632" s="379"/>
      <c r="K632" s="380"/>
      <c r="L632" s="381"/>
    </row>
    <row r="633" spans="2:12" s="377" customFormat="1">
      <c r="B633" s="375"/>
      <c r="C633" s="376"/>
      <c r="G633" s="378"/>
      <c r="H633" s="378"/>
      <c r="J633" s="379"/>
      <c r="K633" s="380"/>
      <c r="L633" s="381"/>
    </row>
    <row r="634" spans="2:12" s="377" customFormat="1">
      <c r="B634" s="375"/>
      <c r="C634" s="376"/>
      <c r="G634" s="378"/>
      <c r="H634" s="378"/>
      <c r="J634" s="379"/>
      <c r="K634" s="380"/>
      <c r="L634" s="381"/>
    </row>
    <row r="635" spans="2:12" s="377" customFormat="1">
      <c r="B635" s="375"/>
      <c r="C635" s="376"/>
      <c r="G635" s="378"/>
      <c r="H635" s="378"/>
      <c r="J635" s="379"/>
      <c r="K635" s="380"/>
      <c r="L635" s="381"/>
    </row>
    <row r="636" spans="2:12" s="377" customFormat="1">
      <c r="B636" s="375"/>
      <c r="C636" s="376"/>
      <c r="G636" s="378"/>
      <c r="H636" s="378"/>
      <c r="J636" s="379"/>
      <c r="K636" s="380"/>
      <c r="L636" s="381"/>
    </row>
    <row r="637" spans="2:12" s="377" customFormat="1">
      <c r="B637" s="375"/>
      <c r="C637" s="376"/>
      <c r="G637" s="378"/>
      <c r="H637" s="378"/>
      <c r="J637" s="379"/>
      <c r="K637" s="380"/>
      <c r="L637" s="381"/>
    </row>
    <row r="638" spans="2:12" s="377" customFormat="1">
      <c r="B638" s="375"/>
      <c r="C638" s="376"/>
      <c r="G638" s="378"/>
      <c r="H638" s="378"/>
      <c r="J638" s="379"/>
      <c r="K638" s="380"/>
      <c r="L638" s="381"/>
    </row>
    <row r="639" spans="2:12" s="377" customFormat="1">
      <c r="B639" s="375"/>
      <c r="C639" s="376"/>
      <c r="G639" s="378"/>
      <c r="H639" s="378"/>
      <c r="J639" s="379"/>
      <c r="K639" s="380"/>
      <c r="L639" s="381"/>
    </row>
    <row r="640" spans="2:12" s="377" customFormat="1">
      <c r="B640" s="375"/>
      <c r="C640" s="376"/>
      <c r="G640" s="378"/>
      <c r="H640" s="378"/>
      <c r="J640" s="379"/>
      <c r="K640" s="380"/>
      <c r="L640" s="381"/>
    </row>
    <row r="641" spans="2:12" s="377" customFormat="1">
      <c r="B641" s="375"/>
      <c r="C641" s="376"/>
      <c r="G641" s="378"/>
      <c r="H641" s="378"/>
      <c r="J641" s="379"/>
      <c r="K641" s="380"/>
      <c r="L641" s="381"/>
    </row>
    <row r="642" spans="2:12" s="377" customFormat="1">
      <c r="B642" s="375"/>
      <c r="C642" s="376"/>
      <c r="G642" s="378"/>
      <c r="H642" s="378"/>
      <c r="J642" s="379"/>
      <c r="K642" s="380"/>
      <c r="L642" s="381"/>
    </row>
    <row r="643" spans="2:12" s="377" customFormat="1">
      <c r="B643" s="375"/>
      <c r="C643" s="376"/>
      <c r="G643" s="378"/>
      <c r="H643" s="378"/>
      <c r="J643" s="379"/>
      <c r="K643" s="380"/>
      <c r="L643" s="381"/>
    </row>
    <row r="644" spans="2:12" s="377" customFormat="1">
      <c r="B644" s="375"/>
      <c r="C644" s="376"/>
      <c r="G644" s="378"/>
      <c r="H644" s="378"/>
      <c r="J644" s="379"/>
      <c r="K644" s="380"/>
      <c r="L644" s="381"/>
    </row>
    <row r="645" spans="2:12" s="377" customFormat="1">
      <c r="B645" s="375"/>
      <c r="C645" s="376"/>
      <c r="G645" s="378"/>
      <c r="H645" s="378"/>
      <c r="J645" s="379"/>
      <c r="K645" s="380"/>
      <c r="L645" s="381"/>
    </row>
    <row r="646" spans="2:12" s="377" customFormat="1">
      <c r="B646" s="375"/>
      <c r="C646" s="376"/>
      <c r="G646" s="378"/>
      <c r="H646" s="378"/>
      <c r="J646" s="379"/>
      <c r="K646" s="380"/>
      <c r="L646" s="381"/>
    </row>
    <row r="647" spans="2:12" s="377" customFormat="1">
      <c r="B647" s="375"/>
      <c r="C647" s="376"/>
      <c r="G647" s="378"/>
      <c r="H647" s="378"/>
      <c r="J647" s="379"/>
      <c r="K647" s="380"/>
      <c r="L647" s="381"/>
    </row>
    <row r="648" spans="2:12" s="377" customFormat="1">
      <c r="B648" s="375"/>
      <c r="C648" s="376"/>
      <c r="G648" s="378"/>
      <c r="H648" s="378"/>
      <c r="J648" s="379"/>
      <c r="K648" s="380"/>
      <c r="L648" s="381"/>
    </row>
    <row r="649" spans="2:12" s="377" customFormat="1">
      <c r="B649" s="375"/>
      <c r="C649" s="376"/>
      <c r="G649" s="378"/>
      <c r="H649" s="378"/>
      <c r="J649" s="379"/>
      <c r="K649" s="380"/>
      <c r="L649" s="381"/>
    </row>
    <row r="650" spans="2:12" s="377" customFormat="1">
      <c r="B650" s="375"/>
      <c r="C650" s="376"/>
      <c r="G650" s="378"/>
      <c r="H650" s="378"/>
      <c r="J650" s="379"/>
      <c r="K650" s="380"/>
      <c r="L650" s="381"/>
    </row>
    <row r="651" spans="2:12" s="377" customFormat="1">
      <c r="B651" s="375"/>
      <c r="C651" s="376"/>
      <c r="G651" s="378"/>
      <c r="H651" s="378"/>
      <c r="J651" s="379"/>
      <c r="K651" s="380"/>
      <c r="L651" s="381"/>
    </row>
    <row r="652" spans="2:12" s="377" customFormat="1">
      <c r="B652" s="375"/>
      <c r="C652" s="376"/>
      <c r="G652" s="378"/>
      <c r="H652" s="378"/>
      <c r="J652" s="379"/>
      <c r="K652" s="380"/>
      <c r="L652" s="381"/>
    </row>
    <row r="653" spans="2:12" s="377" customFormat="1">
      <c r="B653" s="375"/>
      <c r="C653" s="376"/>
      <c r="G653" s="378"/>
      <c r="H653" s="378"/>
      <c r="J653" s="379"/>
      <c r="K653" s="380"/>
      <c r="L653" s="381"/>
    </row>
    <row r="654" spans="2:12" s="377" customFormat="1">
      <c r="B654" s="375"/>
      <c r="C654" s="376"/>
      <c r="G654" s="378"/>
      <c r="H654" s="378"/>
      <c r="J654" s="379"/>
      <c r="K654" s="380"/>
      <c r="L654" s="381"/>
    </row>
    <row r="655" spans="2:12" s="377" customFormat="1">
      <c r="B655" s="375"/>
      <c r="C655" s="376"/>
      <c r="G655" s="378"/>
      <c r="H655" s="378"/>
      <c r="J655" s="379"/>
      <c r="K655" s="380"/>
      <c r="L655" s="381"/>
    </row>
    <row r="656" spans="2:12" s="377" customFormat="1">
      <c r="B656" s="375"/>
      <c r="C656" s="376"/>
      <c r="G656" s="378"/>
      <c r="H656" s="378"/>
      <c r="J656" s="379"/>
      <c r="K656" s="380"/>
      <c r="L656" s="381"/>
    </row>
    <row r="657" spans="2:12" s="377" customFormat="1">
      <c r="B657" s="375"/>
      <c r="C657" s="376"/>
      <c r="G657" s="378"/>
      <c r="H657" s="378"/>
      <c r="J657" s="379"/>
      <c r="K657" s="380"/>
      <c r="L657" s="381"/>
    </row>
    <row r="658" spans="2:12" s="377" customFormat="1">
      <c r="B658" s="375"/>
      <c r="C658" s="376"/>
      <c r="G658" s="378"/>
      <c r="H658" s="378"/>
      <c r="J658" s="379"/>
      <c r="K658" s="380"/>
      <c r="L658" s="381"/>
    </row>
    <row r="659" spans="2:12" s="377" customFormat="1">
      <c r="B659" s="375"/>
      <c r="C659" s="376"/>
      <c r="G659" s="378"/>
      <c r="H659" s="378"/>
      <c r="J659" s="379"/>
      <c r="K659" s="380"/>
      <c r="L659" s="381"/>
    </row>
    <row r="660" spans="2:12" s="377" customFormat="1">
      <c r="B660" s="375"/>
      <c r="C660" s="376"/>
      <c r="G660" s="378"/>
      <c r="H660" s="378"/>
      <c r="J660" s="379"/>
      <c r="K660" s="380"/>
      <c r="L660" s="381"/>
    </row>
    <row r="661" spans="2:12" s="377" customFormat="1">
      <c r="B661" s="375"/>
      <c r="C661" s="376"/>
      <c r="G661" s="378"/>
      <c r="H661" s="378"/>
      <c r="J661" s="379"/>
      <c r="K661" s="380"/>
      <c r="L661" s="381"/>
    </row>
    <row r="662" spans="2:12" s="377" customFormat="1">
      <c r="B662" s="375"/>
      <c r="C662" s="376"/>
      <c r="G662" s="378"/>
      <c r="H662" s="378"/>
      <c r="J662" s="379"/>
      <c r="K662" s="380"/>
      <c r="L662" s="381"/>
    </row>
    <row r="663" spans="2:12" s="377" customFormat="1">
      <c r="B663" s="375"/>
      <c r="C663" s="376"/>
      <c r="G663" s="378"/>
      <c r="H663" s="378"/>
      <c r="J663" s="379"/>
      <c r="K663" s="380"/>
      <c r="L663" s="381"/>
    </row>
    <row r="664" spans="2:12" s="377" customFormat="1">
      <c r="B664" s="375"/>
      <c r="C664" s="376"/>
      <c r="G664" s="378"/>
      <c r="H664" s="378"/>
      <c r="J664" s="379"/>
      <c r="K664" s="380"/>
      <c r="L664" s="381"/>
    </row>
    <row r="665" spans="2:12" s="377" customFormat="1">
      <c r="B665" s="375"/>
      <c r="C665" s="376"/>
      <c r="G665" s="378"/>
      <c r="H665" s="378"/>
      <c r="J665" s="379"/>
      <c r="K665" s="380"/>
      <c r="L665" s="381"/>
    </row>
    <row r="666" spans="2:12" s="377" customFormat="1">
      <c r="B666" s="375"/>
      <c r="C666" s="376"/>
      <c r="G666" s="378"/>
      <c r="H666" s="378"/>
      <c r="J666" s="379"/>
      <c r="K666" s="380"/>
      <c r="L666" s="381"/>
    </row>
    <row r="667" spans="2:12" s="377" customFormat="1">
      <c r="B667" s="375"/>
      <c r="C667" s="376"/>
      <c r="G667" s="378"/>
      <c r="H667" s="378"/>
      <c r="J667" s="379"/>
      <c r="K667" s="380"/>
      <c r="L667" s="381"/>
    </row>
    <row r="668" spans="2:12" s="377" customFormat="1">
      <c r="B668" s="375"/>
      <c r="C668" s="376"/>
      <c r="G668" s="378"/>
      <c r="H668" s="378"/>
      <c r="J668" s="379"/>
      <c r="K668" s="380"/>
      <c r="L668" s="381"/>
    </row>
    <row r="669" spans="2:12" s="377" customFormat="1">
      <c r="B669" s="375"/>
      <c r="C669" s="376"/>
      <c r="G669" s="378"/>
      <c r="H669" s="378"/>
      <c r="J669" s="379"/>
      <c r="K669" s="380"/>
      <c r="L669" s="381"/>
    </row>
    <row r="670" spans="2:12" s="377" customFormat="1">
      <c r="B670" s="375"/>
      <c r="C670" s="376"/>
      <c r="G670" s="378"/>
      <c r="H670" s="378"/>
      <c r="J670" s="379"/>
      <c r="K670" s="380"/>
      <c r="L670" s="381"/>
    </row>
    <row r="671" spans="2:12" s="377" customFormat="1">
      <c r="B671" s="375"/>
      <c r="C671" s="376"/>
      <c r="G671" s="378"/>
      <c r="H671" s="378"/>
      <c r="J671" s="379"/>
      <c r="K671" s="380"/>
      <c r="L671" s="381"/>
    </row>
    <row r="672" spans="2:12" s="377" customFormat="1">
      <c r="B672" s="375"/>
      <c r="C672" s="376"/>
      <c r="G672" s="378"/>
      <c r="H672" s="378"/>
      <c r="J672" s="379"/>
      <c r="K672" s="380"/>
      <c r="L672" s="381"/>
    </row>
    <row r="673" spans="2:12" s="377" customFormat="1">
      <c r="B673" s="375"/>
      <c r="C673" s="376"/>
      <c r="G673" s="378"/>
      <c r="H673" s="378"/>
      <c r="J673" s="379"/>
      <c r="K673" s="380"/>
      <c r="L673" s="381"/>
    </row>
    <row r="674" spans="2:12" s="377" customFormat="1">
      <c r="B674" s="375"/>
      <c r="C674" s="376"/>
      <c r="G674" s="378"/>
      <c r="H674" s="378"/>
      <c r="J674" s="379"/>
      <c r="K674" s="380"/>
      <c r="L674" s="381"/>
    </row>
    <row r="675" spans="2:12" s="377" customFormat="1">
      <c r="B675" s="375"/>
      <c r="C675" s="376"/>
      <c r="G675" s="378"/>
      <c r="H675" s="378"/>
      <c r="J675" s="379"/>
      <c r="K675" s="380"/>
      <c r="L675" s="381"/>
    </row>
    <row r="676" spans="2:12" s="377" customFormat="1">
      <c r="B676" s="375"/>
      <c r="C676" s="376"/>
      <c r="G676" s="378"/>
      <c r="H676" s="378"/>
      <c r="J676" s="379"/>
      <c r="K676" s="380"/>
      <c r="L676" s="381"/>
    </row>
    <row r="677" spans="2:12" s="377" customFormat="1">
      <c r="B677" s="375"/>
      <c r="C677" s="376"/>
      <c r="G677" s="378"/>
      <c r="H677" s="378"/>
      <c r="J677" s="379"/>
      <c r="K677" s="380"/>
      <c r="L677" s="381"/>
    </row>
    <row r="678" spans="2:12" s="65" customFormat="1">
      <c r="B678" s="49"/>
      <c r="C678" s="41"/>
      <c r="D678" s="2"/>
      <c r="E678" s="2"/>
      <c r="F678" s="2"/>
      <c r="G678" s="84"/>
      <c r="H678" s="84"/>
      <c r="J678" s="46"/>
      <c r="K678" s="76"/>
      <c r="L678" s="1"/>
    </row>
    <row r="679" spans="2:12" s="65" customFormat="1">
      <c r="B679" s="49"/>
      <c r="C679" s="41"/>
      <c r="D679" s="2"/>
      <c r="E679" s="2"/>
      <c r="F679" s="2"/>
      <c r="G679" s="84"/>
      <c r="H679" s="84"/>
      <c r="J679" s="46"/>
      <c r="K679" s="76"/>
      <c r="L679" s="1"/>
    </row>
    <row r="680" spans="2:12" s="65" customFormat="1">
      <c r="B680" s="49"/>
      <c r="C680" s="41"/>
      <c r="D680" s="2"/>
      <c r="E680" s="2"/>
      <c r="F680" s="2"/>
      <c r="G680" s="84"/>
      <c r="H680" s="84"/>
      <c r="J680" s="46"/>
      <c r="K680" s="76"/>
      <c r="L680" s="1"/>
    </row>
    <row r="681" spans="2:12" s="65" customFormat="1">
      <c r="B681" s="49"/>
      <c r="C681" s="41"/>
      <c r="D681" s="2"/>
      <c r="E681" s="2"/>
      <c r="F681" s="2"/>
      <c r="G681" s="84"/>
      <c r="H681" s="84"/>
      <c r="J681" s="46"/>
      <c r="K681" s="76"/>
      <c r="L681" s="1"/>
    </row>
    <row r="682" spans="2:12" s="65" customFormat="1">
      <c r="B682" s="49"/>
      <c r="C682" s="41"/>
      <c r="D682" s="2"/>
      <c r="E682" s="2"/>
      <c r="F682" s="2"/>
      <c r="G682" s="84"/>
      <c r="H682" s="84"/>
      <c r="J682" s="46"/>
      <c r="K682" s="76"/>
      <c r="L682" s="1"/>
    </row>
    <row r="683" spans="2:12" s="65" customFormat="1">
      <c r="B683" s="49"/>
      <c r="C683" s="41"/>
      <c r="D683" s="2"/>
      <c r="E683" s="2"/>
      <c r="F683" s="2"/>
      <c r="G683" s="84"/>
      <c r="H683" s="84"/>
      <c r="J683" s="46"/>
      <c r="K683" s="76"/>
      <c r="L683" s="1"/>
    </row>
  </sheetData>
  <customSheetViews>
    <customSheetView guid="{FBB3E572-A647-4B8C-96C7-F43FE4F7CAA8}" showPageBreaks="1" fitToPage="1" printArea="1" hiddenColumns="1" state="hidden"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2" orientation="landscape" verticalDpi="0" r:id="rId1"/>
    </customSheetView>
    <customSheetView guid="{900EF7B2-0D63-4DE2-9CFC-2D2B3788802C}" showPageBreaks="1" fitToPage="1" printArea="1" hiddenColumns="1" state="hidden"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1" orientation="landscape" verticalDpi="0" r:id="rId2"/>
    </customSheetView>
    <customSheetView guid="{CC6D6007-EFDE-464F-BD7C-A67043AC5D5C}" showPageBreaks="1" fitToPage="1" printArea="1" hiddenColumns="1" state="hidden" view="pageBreakPreview">
      <pane ySplit="4" topLeftCell="A14" activePane="bottomLeft" state="frozen"/>
      <selection pane="bottomLeft" activeCell="B11" sqref="B11"/>
      <pageMargins left="0.81" right="0.27559055118110237" top="0.39370078740157483" bottom="0.23622047244094491" header="0.31496062992125984" footer="0.19685039370078741"/>
      <pageSetup paperSize="9" scale="91" orientation="landscape" verticalDpi="0" r:id="rId3"/>
    </customSheetView>
    <customSheetView guid="{C0FE86CC-5BB4-4265-957F-F51B909B3E81}" showPageBreaks="1" fitToPage="1" printArea="1" hiddenColumns="1"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1" orientation="landscape" verticalDpi="0" r:id="rId4"/>
    </customSheetView>
  </customSheetViews>
  <mergeCells count="5">
    <mergeCell ref="B3:B4"/>
    <mergeCell ref="C3:C4"/>
    <mergeCell ref="D3:H3"/>
    <mergeCell ref="J3:J4"/>
    <mergeCell ref="K3:K4"/>
  </mergeCells>
  <pageMargins left="0.81" right="0.27559055118110237" top="0.39370078740157483" bottom="0.23622047244094491" header="0.31496062992125984" footer="0.19685039370078741"/>
  <pageSetup paperSize="9" scale="92" orientation="landscape" verticalDpi="0" r:id="rId5"/>
  <legacyDrawing r:id="rId6"/>
</worksheet>
</file>

<file path=xl/worksheets/sheet19.xml><?xml version="1.0" encoding="utf-8"?>
<worksheet xmlns="http://schemas.openxmlformats.org/spreadsheetml/2006/main" xmlns:r="http://schemas.openxmlformats.org/officeDocument/2006/relationships">
  <sheetPr>
    <tabColor rgb="FF00B050"/>
    <pageSetUpPr fitToPage="1"/>
  </sheetPr>
  <dimension ref="B1:J1584"/>
  <sheetViews>
    <sheetView view="pageBreakPreview" zoomScale="120" zoomScaleSheetLayoutView="120" workbookViewId="0">
      <pane ySplit="4" topLeftCell="A5" activePane="bottomLeft" state="frozen"/>
      <selection pane="bottomLeft" activeCell="J43" sqref="J43"/>
    </sheetView>
  </sheetViews>
  <sheetFormatPr defaultRowHeight="15"/>
  <cols>
    <col min="1" max="1" width="0.28515625" style="1" customWidth="1"/>
    <col min="2" max="2" width="48.85546875" style="49" customWidth="1"/>
    <col min="3" max="3" width="8.7109375" style="41" bestFit="1" customWidth="1"/>
    <col min="4" max="4" width="8.85546875" style="2" bestFit="1" customWidth="1"/>
    <col min="5" max="5" width="10" style="2" bestFit="1" customWidth="1"/>
    <col min="6" max="7" width="11.140625" style="81" bestFit="1" customWidth="1"/>
    <col min="8" max="8" width="3.140625" style="65" hidden="1" customWidth="1"/>
    <col min="9" max="9" width="10.42578125" style="46" hidden="1" customWidth="1"/>
    <col min="10" max="10" width="8.140625" style="76" customWidth="1"/>
    <col min="11" max="16384" width="9.140625" style="1"/>
  </cols>
  <sheetData>
    <row r="1" spans="2:10" ht="0.75" customHeight="1">
      <c r="B1" s="82"/>
      <c r="C1" s="149"/>
      <c r="D1" s="84"/>
      <c r="E1" s="84"/>
      <c r="F1" s="84"/>
      <c r="G1" s="84"/>
    </row>
    <row r="2" spans="2:10" ht="15.75" thickBot="1">
      <c r="B2" s="321" t="s">
        <v>879</v>
      </c>
      <c r="C2" s="149"/>
      <c r="D2" s="84"/>
      <c r="E2" s="84"/>
      <c r="F2" s="84"/>
      <c r="G2" s="84"/>
    </row>
    <row r="3" spans="2:10" s="40" customFormat="1" ht="18" customHeight="1" thickBot="1">
      <c r="B3" s="1655" t="s">
        <v>623</v>
      </c>
      <c r="C3" s="1713" t="s">
        <v>640</v>
      </c>
      <c r="D3" s="1667" t="s">
        <v>198</v>
      </c>
      <c r="E3" s="1667"/>
      <c r="F3" s="1667"/>
      <c r="G3" s="1668"/>
      <c r="H3" s="70"/>
      <c r="I3" s="1664" t="s">
        <v>196</v>
      </c>
      <c r="J3" s="1665" t="s">
        <v>639</v>
      </c>
    </row>
    <row r="4" spans="2:10" s="40" customFormat="1" ht="27" customHeight="1" thickBot="1">
      <c r="B4" s="1657"/>
      <c r="C4" s="1714"/>
      <c r="D4" s="391" t="s">
        <v>642</v>
      </c>
      <c r="E4" s="158" t="s">
        <v>156</v>
      </c>
      <c r="F4" s="158" t="s">
        <v>195</v>
      </c>
      <c r="G4" s="159" t="s">
        <v>157</v>
      </c>
      <c r="H4" s="70"/>
      <c r="I4" s="1664"/>
      <c r="J4" s="1665"/>
    </row>
    <row r="5" spans="2:10" ht="16.5" customHeight="1" thickBot="1">
      <c r="B5" s="153" t="s">
        <v>624</v>
      </c>
      <c r="C5" s="151"/>
      <c r="D5" s="155"/>
      <c r="E5" s="155"/>
      <c r="F5" s="155"/>
      <c r="G5" s="144"/>
      <c r="I5" s="1664"/>
      <c r="J5" s="1665"/>
    </row>
    <row r="6" spans="2:10" s="64" customFormat="1">
      <c r="B6" s="382" t="s">
        <v>625</v>
      </c>
      <c r="C6" s="387" t="s">
        <v>641</v>
      </c>
      <c r="D6" s="111">
        <f>J6*1.2+60</f>
        <v>844.8</v>
      </c>
      <c r="E6" s="160">
        <f>J6*1.15+60</f>
        <v>812.09999999999991</v>
      </c>
      <c r="F6" s="160">
        <f>J6*1.1+60</f>
        <v>779.40000000000009</v>
      </c>
      <c r="G6" s="384">
        <f>J6*1.05+60</f>
        <v>746.7</v>
      </c>
      <c r="H6" s="66"/>
      <c r="I6" s="69">
        <f>J6+60</f>
        <v>714</v>
      </c>
      <c r="J6" s="77">
        <f>545*1.2</f>
        <v>654</v>
      </c>
    </row>
    <row r="7" spans="2:10" s="64" customFormat="1">
      <c r="B7" s="182" t="s">
        <v>626</v>
      </c>
      <c r="C7" s="388" t="s">
        <v>641</v>
      </c>
      <c r="D7" s="183">
        <f t="shared" ref="D7:D19" si="0">J7*1.2+60</f>
        <v>931.19999999999993</v>
      </c>
      <c r="E7" s="161">
        <f t="shared" ref="E7:E19" si="1">J7*1.15+60</f>
        <v>894.9</v>
      </c>
      <c r="F7" s="161">
        <f t="shared" ref="F7:F19" si="2">J7*1.1+60</f>
        <v>858.6</v>
      </c>
      <c r="G7" s="385">
        <f t="shared" ref="G7:G19" si="3">J7*1.05+60</f>
        <v>822.30000000000007</v>
      </c>
      <c r="H7" s="66"/>
      <c r="I7" s="69">
        <f t="shared" ref="I7:I19" si="4">J7+60</f>
        <v>786</v>
      </c>
      <c r="J7" s="77">
        <f>605*1.2</f>
        <v>726</v>
      </c>
    </row>
    <row r="8" spans="2:10" s="64" customFormat="1">
      <c r="B8" s="182" t="s">
        <v>627</v>
      </c>
      <c r="C8" s="388">
        <v>15</v>
      </c>
      <c r="D8" s="183">
        <f t="shared" si="0"/>
        <v>507.72</v>
      </c>
      <c r="E8" s="161">
        <f t="shared" si="1"/>
        <v>489.065</v>
      </c>
      <c r="F8" s="161">
        <f t="shared" si="2"/>
        <v>470.41000000000008</v>
      </c>
      <c r="G8" s="385">
        <f t="shared" si="3"/>
        <v>451.75500000000005</v>
      </c>
      <c r="H8" s="66"/>
      <c r="I8" s="69">
        <f t="shared" si="4"/>
        <v>433.1</v>
      </c>
      <c r="J8" s="77">
        <f>287*1.3</f>
        <v>373.1</v>
      </c>
    </row>
    <row r="9" spans="2:10" s="64" customFormat="1">
      <c r="B9" s="182" t="s">
        <v>628</v>
      </c>
      <c r="C9" s="388">
        <v>15</v>
      </c>
      <c r="D9" s="183">
        <f t="shared" si="0"/>
        <v>1185</v>
      </c>
      <c r="E9" s="161">
        <f t="shared" si="1"/>
        <v>1138.125</v>
      </c>
      <c r="F9" s="161">
        <f t="shared" si="2"/>
        <v>1091.25</v>
      </c>
      <c r="G9" s="385">
        <f t="shared" si="3"/>
        <v>1044.375</v>
      </c>
      <c r="H9" s="66"/>
      <c r="I9" s="69">
        <f t="shared" si="4"/>
        <v>997.5</v>
      </c>
      <c r="J9" s="77">
        <f>750*1.25</f>
        <v>937.5</v>
      </c>
    </row>
    <row r="10" spans="2:10" s="64" customFormat="1">
      <c r="B10" s="182" t="s">
        <v>629</v>
      </c>
      <c r="C10" s="388">
        <v>16</v>
      </c>
      <c r="D10" s="183">
        <f t="shared" si="0"/>
        <v>902.4</v>
      </c>
      <c r="E10" s="161">
        <f t="shared" si="1"/>
        <v>867.3</v>
      </c>
      <c r="F10" s="161">
        <f t="shared" si="2"/>
        <v>832.2</v>
      </c>
      <c r="G10" s="385">
        <f t="shared" si="3"/>
        <v>797.1</v>
      </c>
      <c r="H10" s="66"/>
      <c r="I10" s="69">
        <f t="shared" si="4"/>
        <v>762</v>
      </c>
      <c r="J10" s="77">
        <f>540*1.3</f>
        <v>702</v>
      </c>
    </row>
    <row r="11" spans="2:10" s="64" customFormat="1">
      <c r="B11" s="182" t="s">
        <v>630</v>
      </c>
      <c r="C11" s="388">
        <v>16</v>
      </c>
      <c r="D11" s="183">
        <f t="shared" si="0"/>
        <v>902.4</v>
      </c>
      <c r="E11" s="161">
        <f t="shared" si="1"/>
        <v>867.3</v>
      </c>
      <c r="F11" s="161">
        <f t="shared" si="2"/>
        <v>832.2</v>
      </c>
      <c r="G11" s="385">
        <f t="shared" si="3"/>
        <v>797.1</v>
      </c>
      <c r="H11" s="66"/>
      <c r="I11" s="69">
        <f t="shared" si="4"/>
        <v>762</v>
      </c>
      <c r="J11" s="77">
        <f>585*1.2</f>
        <v>702</v>
      </c>
    </row>
    <row r="12" spans="2:10" s="64" customFormat="1">
      <c r="B12" s="182" t="s">
        <v>631</v>
      </c>
      <c r="C12" s="388">
        <v>16</v>
      </c>
      <c r="D12" s="183">
        <f t="shared" si="0"/>
        <v>883.68</v>
      </c>
      <c r="E12" s="161">
        <f t="shared" si="1"/>
        <v>849.3599999999999</v>
      </c>
      <c r="F12" s="161">
        <f t="shared" si="2"/>
        <v>815.04000000000008</v>
      </c>
      <c r="G12" s="385">
        <f>J12*1.05+60</f>
        <v>780.72</v>
      </c>
      <c r="H12" s="66"/>
      <c r="I12" s="69">
        <f t="shared" si="4"/>
        <v>746.4</v>
      </c>
      <c r="J12" s="77">
        <f>572*1.2</f>
        <v>686.4</v>
      </c>
    </row>
    <row r="13" spans="2:10">
      <c r="B13" s="182" t="s">
        <v>638</v>
      </c>
      <c r="C13" s="389">
        <v>16</v>
      </c>
      <c r="D13" s="183">
        <f t="shared" si="0"/>
        <v>958.56</v>
      </c>
      <c r="E13" s="161">
        <f t="shared" si="1"/>
        <v>921.11999999999989</v>
      </c>
      <c r="F13" s="161">
        <f t="shared" si="2"/>
        <v>883.68000000000006</v>
      </c>
      <c r="G13" s="385">
        <f t="shared" si="3"/>
        <v>846.24</v>
      </c>
      <c r="H13" s="66"/>
      <c r="I13" s="69">
        <f t="shared" si="4"/>
        <v>808.8</v>
      </c>
      <c r="J13" s="77">
        <f>624*1.2</f>
        <v>748.8</v>
      </c>
    </row>
    <row r="14" spans="2:10" s="64" customFormat="1">
      <c r="B14" s="182" t="s">
        <v>632</v>
      </c>
      <c r="C14" s="388">
        <v>30</v>
      </c>
      <c r="D14" s="183">
        <f t="shared" si="0"/>
        <v>921.12</v>
      </c>
      <c r="E14" s="161">
        <f t="shared" si="1"/>
        <v>885.24</v>
      </c>
      <c r="F14" s="161">
        <f t="shared" si="2"/>
        <v>849.36000000000013</v>
      </c>
      <c r="G14" s="385">
        <f t="shared" si="3"/>
        <v>813.48</v>
      </c>
      <c r="H14" s="66"/>
      <c r="I14" s="69">
        <f t="shared" si="4"/>
        <v>777.6</v>
      </c>
      <c r="J14" s="77">
        <f>598*1.2</f>
        <v>717.6</v>
      </c>
    </row>
    <row r="15" spans="2:10" s="64" customFormat="1">
      <c r="B15" s="182" t="s">
        <v>633</v>
      </c>
      <c r="C15" s="388">
        <v>30</v>
      </c>
      <c r="D15" s="183">
        <f t="shared" si="0"/>
        <v>987.3599999999999</v>
      </c>
      <c r="E15" s="161">
        <f t="shared" si="1"/>
        <v>948.71999999999991</v>
      </c>
      <c r="F15" s="161">
        <f t="shared" si="2"/>
        <v>910.08</v>
      </c>
      <c r="G15" s="385">
        <f t="shared" si="3"/>
        <v>871.43999999999994</v>
      </c>
      <c r="H15" s="66"/>
      <c r="I15" s="69">
        <f t="shared" si="4"/>
        <v>832.8</v>
      </c>
      <c r="J15" s="77">
        <f>644*1.2</f>
        <v>772.8</v>
      </c>
    </row>
    <row r="16" spans="2:10" s="64" customFormat="1">
      <c r="B16" s="182" t="s">
        <v>634</v>
      </c>
      <c r="C16" s="388">
        <v>30</v>
      </c>
      <c r="D16" s="183">
        <f t="shared" si="0"/>
        <v>1053.5999999999999</v>
      </c>
      <c r="E16" s="161">
        <f t="shared" si="1"/>
        <v>1012.1999999999999</v>
      </c>
      <c r="F16" s="161">
        <f t="shared" si="2"/>
        <v>970.80000000000007</v>
      </c>
      <c r="G16" s="385">
        <f t="shared" si="3"/>
        <v>929.40000000000009</v>
      </c>
      <c r="H16" s="66"/>
      <c r="I16" s="69">
        <f t="shared" si="4"/>
        <v>888</v>
      </c>
      <c r="J16" s="77">
        <f>690*1.2</f>
        <v>828</v>
      </c>
    </row>
    <row r="17" spans="2:10" s="64" customFormat="1">
      <c r="B17" s="182" t="s">
        <v>635</v>
      </c>
      <c r="C17" s="388">
        <v>30</v>
      </c>
      <c r="D17" s="183">
        <f t="shared" si="0"/>
        <v>883.68</v>
      </c>
      <c r="E17" s="161">
        <f t="shared" si="1"/>
        <v>849.3599999999999</v>
      </c>
      <c r="F17" s="161">
        <f t="shared" si="2"/>
        <v>815.04000000000008</v>
      </c>
      <c r="G17" s="385">
        <f t="shared" si="3"/>
        <v>780.72</v>
      </c>
      <c r="H17" s="66"/>
      <c r="I17" s="69">
        <f t="shared" si="4"/>
        <v>746.4</v>
      </c>
      <c r="J17" s="77">
        <f>572*1.2</f>
        <v>686.4</v>
      </c>
    </row>
    <row r="18" spans="2:10" s="64" customFormat="1">
      <c r="B18" s="182" t="s">
        <v>636</v>
      </c>
      <c r="C18" s="388">
        <v>30</v>
      </c>
      <c r="D18" s="183">
        <f t="shared" si="0"/>
        <v>958.56</v>
      </c>
      <c r="E18" s="161">
        <f t="shared" si="1"/>
        <v>921.11999999999989</v>
      </c>
      <c r="F18" s="161">
        <f t="shared" si="2"/>
        <v>883.68000000000006</v>
      </c>
      <c r="G18" s="385">
        <f t="shared" si="3"/>
        <v>846.24</v>
      </c>
      <c r="H18" s="66"/>
      <c r="I18" s="69">
        <f t="shared" si="4"/>
        <v>808.8</v>
      </c>
      <c r="J18" s="77">
        <f>624*1.2</f>
        <v>748.8</v>
      </c>
    </row>
    <row r="19" spans="2:10" s="64" customFormat="1" ht="15.75" thickBot="1">
      <c r="B19" s="383" t="s">
        <v>637</v>
      </c>
      <c r="C19" s="390">
        <v>30</v>
      </c>
      <c r="D19" s="184">
        <f t="shared" si="0"/>
        <v>947.03999999999985</v>
      </c>
      <c r="E19" s="162">
        <f t="shared" si="1"/>
        <v>910.07999999999981</v>
      </c>
      <c r="F19" s="162">
        <f t="shared" si="2"/>
        <v>873.12</v>
      </c>
      <c r="G19" s="386">
        <f t="shared" si="3"/>
        <v>836.16</v>
      </c>
      <c r="H19" s="66"/>
      <c r="I19" s="69">
        <f t="shared" si="4"/>
        <v>799.19999999999993</v>
      </c>
      <c r="J19" s="77">
        <f>616*1.2</f>
        <v>739.19999999999993</v>
      </c>
    </row>
    <row r="20" spans="2:10" s="89" customFormat="1" ht="15" customHeight="1">
      <c r="B20" s="82"/>
      <c r="C20" s="149"/>
      <c r="D20" s="84"/>
      <c r="E20" s="84"/>
      <c r="F20" s="84"/>
      <c r="G20" s="84"/>
      <c r="H20" s="85"/>
      <c r="I20" s="86"/>
      <c r="J20" s="88"/>
    </row>
    <row r="21" spans="2:10" s="89" customFormat="1" ht="15" customHeight="1">
      <c r="B21" s="82"/>
      <c r="C21" s="149"/>
      <c r="D21" s="84"/>
      <c r="E21" s="84"/>
      <c r="F21" s="84"/>
      <c r="G21" s="84"/>
      <c r="H21" s="85"/>
      <c r="I21" s="86"/>
      <c r="J21" s="88"/>
    </row>
    <row r="22" spans="2:10" s="89" customFormat="1" ht="15" customHeight="1">
      <c r="B22" s="82"/>
      <c r="C22" s="149"/>
      <c r="D22" s="84"/>
      <c r="E22" s="84"/>
      <c r="F22" s="84"/>
      <c r="G22" s="84"/>
      <c r="H22" s="85"/>
      <c r="I22" s="86"/>
      <c r="J22" s="88"/>
    </row>
    <row r="23" spans="2:10" s="89" customFormat="1" ht="15" customHeight="1">
      <c r="B23" s="82"/>
      <c r="C23" s="149"/>
      <c r="D23" s="84"/>
      <c r="E23" s="84"/>
      <c r="F23" s="84"/>
      <c r="G23" s="84"/>
      <c r="H23" s="85"/>
      <c r="I23" s="86"/>
      <c r="J23" s="88"/>
    </row>
    <row r="24" spans="2:10" s="89" customFormat="1" ht="15" customHeight="1">
      <c r="B24" s="82"/>
      <c r="C24" s="149"/>
      <c r="D24" s="84"/>
      <c r="E24" s="84"/>
      <c r="F24" s="84"/>
      <c r="G24" s="84"/>
      <c r="H24" s="85"/>
      <c r="I24" s="86"/>
      <c r="J24" s="88"/>
    </row>
    <row r="25" spans="2:10" s="89" customFormat="1">
      <c r="B25" s="82"/>
      <c r="C25" s="149"/>
      <c r="D25" s="84"/>
      <c r="E25" s="84"/>
      <c r="F25" s="84"/>
      <c r="G25" s="84"/>
      <c r="H25" s="85"/>
      <c r="I25" s="86"/>
      <c r="J25" s="88"/>
    </row>
    <row r="26" spans="2:10" s="89" customFormat="1">
      <c r="B26" s="82"/>
      <c r="C26" s="149"/>
      <c r="D26" s="84"/>
      <c r="E26" s="84"/>
      <c r="F26" s="84"/>
      <c r="G26" s="84"/>
      <c r="H26" s="85"/>
      <c r="I26" s="86"/>
      <c r="J26" s="88"/>
    </row>
    <row r="27" spans="2:10" s="89" customFormat="1">
      <c r="B27" s="82"/>
      <c r="C27" s="149"/>
      <c r="D27" s="84"/>
      <c r="E27" s="84"/>
      <c r="F27" s="84"/>
      <c r="G27" s="84"/>
      <c r="H27" s="85"/>
      <c r="I27" s="86"/>
      <c r="J27" s="88"/>
    </row>
    <row r="28" spans="2:10" s="89" customFormat="1">
      <c r="B28" s="82"/>
      <c r="C28" s="149"/>
      <c r="D28" s="84"/>
      <c r="E28" s="84"/>
      <c r="F28" s="84"/>
      <c r="G28" s="84"/>
      <c r="H28" s="85"/>
      <c r="I28" s="86"/>
      <c r="J28" s="88"/>
    </row>
    <row r="29" spans="2:10" s="89" customFormat="1">
      <c r="B29" s="82"/>
      <c r="C29" s="149"/>
      <c r="D29" s="84"/>
      <c r="E29" s="84"/>
      <c r="F29" s="84"/>
      <c r="G29" s="84"/>
      <c r="H29" s="85"/>
      <c r="I29" s="86"/>
      <c r="J29" s="88"/>
    </row>
    <row r="30" spans="2:10" s="89" customFormat="1">
      <c r="B30" s="82"/>
      <c r="C30" s="149"/>
      <c r="D30" s="84"/>
      <c r="E30" s="84"/>
      <c r="F30" s="84"/>
      <c r="G30" s="84"/>
      <c r="H30" s="85"/>
      <c r="I30" s="86"/>
      <c r="J30" s="88"/>
    </row>
    <row r="31" spans="2:10" s="89" customFormat="1">
      <c r="B31" s="82"/>
      <c r="C31" s="149"/>
      <c r="D31" s="84"/>
      <c r="E31" s="84"/>
      <c r="F31" s="84"/>
      <c r="G31" s="84"/>
      <c r="H31" s="85"/>
      <c r="I31" s="86"/>
      <c r="J31" s="88"/>
    </row>
    <row r="32" spans="2:10" s="89" customFormat="1">
      <c r="B32" s="82"/>
      <c r="C32" s="149"/>
      <c r="D32" s="84"/>
      <c r="E32" s="84"/>
      <c r="F32" s="84"/>
      <c r="G32" s="84"/>
      <c r="H32" s="85"/>
      <c r="I32" s="86"/>
      <c r="J32" s="88"/>
    </row>
    <row r="33" spans="2:10" s="89" customFormat="1">
      <c r="B33" s="82"/>
      <c r="C33" s="149"/>
      <c r="D33" s="84"/>
      <c r="E33" s="84"/>
      <c r="F33" s="84"/>
      <c r="G33" s="84"/>
      <c r="H33" s="85"/>
      <c r="I33" s="86"/>
      <c r="J33" s="88"/>
    </row>
    <row r="34" spans="2:10" s="89" customFormat="1">
      <c r="B34" s="82"/>
      <c r="C34" s="149"/>
      <c r="D34" s="84"/>
      <c r="E34" s="84"/>
      <c r="F34" s="84"/>
      <c r="G34" s="84"/>
      <c r="H34" s="85"/>
      <c r="I34" s="86"/>
      <c r="J34" s="88"/>
    </row>
    <row r="35" spans="2:10" s="89" customFormat="1">
      <c r="B35" s="82"/>
      <c r="C35" s="149"/>
      <c r="D35" s="84"/>
      <c r="E35" s="84"/>
      <c r="F35" s="84"/>
      <c r="G35" s="84"/>
      <c r="H35" s="85"/>
      <c r="I35" s="86"/>
      <c r="J35" s="88"/>
    </row>
    <row r="36" spans="2:10" s="89" customFormat="1">
      <c r="B36" s="82"/>
      <c r="C36" s="149"/>
      <c r="D36" s="84"/>
      <c r="E36" s="84"/>
      <c r="F36" s="84"/>
      <c r="G36" s="84"/>
      <c r="H36" s="85"/>
      <c r="I36" s="86"/>
      <c r="J36" s="88"/>
    </row>
    <row r="37" spans="2:10" s="89" customFormat="1">
      <c r="B37" s="82"/>
      <c r="C37" s="149"/>
      <c r="D37" s="84"/>
      <c r="E37" s="84"/>
      <c r="F37" s="84"/>
      <c r="G37" s="84"/>
      <c r="H37" s="85"/>
      <c r="I37" s="86"/>
      <c r="J37" s="88"/>
    </row>
    <row r="38" spans="2:10" s="89" customFormat="1">
      <c r="B38" s="82"/>
      <c r="C38" s="149"/>
      <c r="D38" s="84"/>
      <c r="E38" s="84"/>
      <c r="F38" s="84"/>
      <c r="G38" s="84"/>
      <c r="H38" s="85"/>
      <c r="I38" s="86"/>
      <c r="J38" s="88"/>
    </row>
    <row r="39" spans="2:10" s="89" customFormat="1">
      <c r="B39" s="82"/>
      <c r="C39" s="149"/>
      <c r="D39" s="84"/>
      <c r="E39" s="84"/>
      <c r="F39" s="84"/>
      <c r="G39" s="84"/>
      <c r="H39" s="85"/>
      <c r="I39" s="86"/>
      <c r="J39" s="88"/>
    </row>
    <row r="40" spans="2:10" s="89" customFormat="1">
      <c r="B40" s="82"/>
      <c r="C40" s="149"/>
      <c r="D40" s="84"/>
      <c r="E40" s="84"/>
      <c r="F40" s="84"/>
      <c r="G40" s="84"/>
      <c r="H40" s="85"/>
      <c r="I40" s="86"/>
      <c r="J40" s="88"/>
    </row>
    <row r="41" spans="2:10" s="89" customFormat="1">
      <c r="B41" s="82"/>
      <c r="C41" s="149"/>
      <c r="D41" s="84"/>
      <c r="E41" s="84"/>
      <c r="F41" s="84"/>
      <c r="G41" s="84"/>
      <c r="H41" s="85"/>
      <c r="I41" s="86"/>
      <c r="J41" s="88"/>
    </row>
    <row r="42" spans="2:10" s="89" customFormat="1">
      <c r="B42" s="82"/>
      <c r="C42" s="149"/>
      <c r="D42" s="84"/>
      <c r="E42" s="84"/>
      <c r="F42" s="84"/>
      <c r="G42" s="84"/>
      <c r="H42" s="85"/>
      <c r="I42" s="86"/>
      <c r="J42" s="88"/>
    </row>
    <row r="43" spans="2:10" s="89" customFormat="1">
      <c r="B43" s="82"/>
      <c r="C43" s="149"/>
      <c r="D43" s="84"/>
      <c r="E43" s="84"/>
      <c r="F43" s="84"/>
      <c r="G43" s="84"/>
      <c r="H43" s="85"/>
      <c r="I43" s="86"/>
      <c r="J43" s="88"/>
    </row>
    <row r="44" spans="2:10" s="89" customFormat="1">
      <c r="B44" s="82"/>
      <c r="C44" s="149"/>
      <c r="D44" s="84"/>
      <c r="E44" s="84"/>
      <c r="F44" s="84"/>
      <c r="G44" s="84"/>
      <c r="H44" s="85"/>
      <c r="I44" s="86"/>
      <c r="J44" s="88"/>
    </row>
    <row r="45" spans="2:10" s="89" customFormat="1">
      <c r="B45" s="82"/>
      <c r="C45" s="149"/>
      <c r="D45" s="84"/>
      <c r="E45" s="84"/>
      <c r="F45" s="84"/>
      <c r="G45" s="84"/>
      <c r="H45" s="85"/>
      <c r="I45" s="86"/>
      <c r="J45" s="88"/>
    </row>
    <row r="46" spans="2:10" s="89" customFormat="1">
      <c r="B46" s="82"/>
      <c r="C46" s="149"/>
      <c r="D46" s="84"/>
      <c r="E46" s="84"/>
      <c r="F46" s="84"/>
      <c r="G46" s="84"/>
      <c r="H46" s="85"/>
      <c r="I46" s="86"/>
      <c r="J46" s="88"/>
    </row>
    <row r="47" spans="2:10" s="89" customFormat="1">
      <c r="B47" s="82"/>
      <c r="C47" s="149"/>
      <c r="D47" s="84"/>
      <c r="E47" s="84"/>
      <c r="F47" s="84"/>
      <c r="G47" s="84"/>
      <c r="H47" s="85"/>
      <c r="I47" s="86"/>
      <c r="J47" s="88"/>
    </row>
    <row r="48" spans="2:10" s="89" customFormat="1">
      <c r="B48" s="82"/>
      <c r="C48" s="149"/>
      <c r="D48" s="84"/>
      <c r="E48" s="84"/>
      <c r="F48" s="84"/>
      <c r="G48" s="84"/>
      <c r="H48" s="85"/>
      <c r="I48" s="86"/>
      <c r="J48" s="88"/>
    </row>
    <row r="49" spans="2:10" s="89" customFormat="1">
      <c r="B49" s="82"/>
      <c r="C49" s="149"/>
      <c r="D49" s="84"/>
      <c r="E49" s="84"/>
      <c r="F49" s="84"/>
      <c r="G49" s="84"/>
      <c r="H49" s="85"/>
      <c r="I49" s="86"/>
      <c r="J49" s="88"/>
    </row>
    <row r="50" spans="2:10" s="89" customFormat="1">
      <c r="B50" s="82"/>
      <c r="C50" s="149"/>
      <c r="D50" s="84"/>
      <c r="E50" s="84"/>
      <c r="F50" s="84"/>
      <c r="G50" s="84"/>
      <c r="H50" s="85"/>
      <c r="I50" s="86"/>
      <c r="J50" s="88"/>
    </row>
    <row r="51" spans="2:10" s="89" customFormat="1">
      <c r="B51" s="82"/>
      <c r="C51" s="149"/>
      <c r="D51" s="84"/>
      <c r="E51" s="84"/>
      <c r="F51" s="84"/>
      <c r="G51" s="84"/>
      <c r="H51" s="85"/>
      <c r="I51" s="86"/>
      <c r="J51" s="88"/>
    </row>
    <row r="52" spans="2:10" s="89" customFormat="1">
      <c r="B52" s="82"/>
      <c r="C52" s="149"/>
      <c r="D52" s="84"/>
      <c r="E52" s="84"/>
      <c r="F52" s="84"/>
      <c r="G52" s="84"/>
      <c r="H52" s="85"/>
      <c r="I52" s="86"/>
      <c r="J52" s="88"/>
    </row>
    <row r="53" spans="2:10" s="89" customFormat="1">
      <c r="B53" s="82"/>
      <c r="C53" s="149"/>
      <c r="D53" s="84"/>
      <c r="E53" s="84"/>
      <c r="F53" s="84"/>
      <c r="G53" s="84"/>
      <c r="H53" s="85"/>
      <c r="I53" s="86"/>
      <c r="J53" s="88"/>
    </row>
    <row r="54" spans="2:10" s="89" customFormat="1">
      <c r="B54" s="82"/>
      <c r="C54" s="149"/>
      <c r="D54" s="84"/>
      <c r="E54" s="84"/>
      <c r="F54" s="84"/>
      <c r="G54" s="84"/>
      <c r="H54" s="85"/>
      <c r="I54" s="86"/>
      <c r="J54" s="88"/>
    </row>
    <row r="55" spans="2:10" s="89" customFormat="1">
      <c r="B55" s="82"/>
      <c r="C55" s="149"/>
      <c r="D55" s="84"/>
      <c r="E55" s="84"/>
      <c r="F55" s="84"/>
      <c r="G55" s="84"/>
      <c r="H55" s="85"/>
      <c r="I55" s="86"/>
      <c r="J55" s="88"/>
    </row>
    <row r="56" spans="2:10" s="89" customFormat="1">
      <c r="B56" s="82"/>
      <c r="C56" s="149"/>
      <c r="D56" s="84"/>
      <c r="E56" s="84"/>
      <c r="F56" s="84"/>
      <c r="G56" s="84"/>
      <c r="H56" s="85"/>
      <c r="I56" s="86"/>
      <c r="J56" s="88"/>
    </row>
    <row r="57" spans="2:10" s="89" customFormat="1">
      <c r="B57" s="82"/>
      <c r="C57" s="149"/>
      <c r="D57" s="84"/>
      <c r="E57" s="84"/>
      <c r="F57" s="84"/>
      <c r="G57" s="84"/>
      <c r="H57" s="85"/>
      <c r="I57" s="86"/>
      <c r="J57" s="88"/>
    </row>
    <row r="58" spans="2:10" s="89" customFormat="1">
      <c r="B58" s="82"/>
      <c r="C58" s="149"/>
      <c r="D58" s="84"/>
      <c r="E58" s="84"/>
      <c r="F58" s="84"/>
      <c r="G58" s="84"/>
      <c r="H58" s="85"/>
      <c r="I58" s="86"/>
      <c r="J58" s="88"/>
    </row>
    <row r="59" spans="2:10" s="89" customFormat="1">
      <c r="B59" s="82"/>
      <c r="C59" s="149"/>
      <c r="D59" s="84"/>
      <c r="E59" s="84"/>
      <c r="F59" s="84"/>
      <c r="G59" s="84"/>
      <c r="H59" s="85"/>
      <c r="I59" s="86"/>
      <c r="J59" s="88"/>
    </row>
    <row r="60" spans="2:10" s="89" customFormat="1">
      <c r="B60" s="82"/>
      <c r="C60" s="149"/>
      <c r="D60" s="84"/>
      <c r="E60" s="84"/>
      <c r="F60" s="84"/>
      <c r="G60" s="84"/>
      <c r="H60" s="85"/>
      <c r="I60" s="86"/>
      <c r="J60" s="88"/>
    </row>
    <row r="61" spans="2:10" s="89" customFormat="1">
      <c r="B61" s="82"/>
      <c r="C61" s="149"/>
      <c r="D61" s="84"/>
      <c r="E61" s="84"/>
      <c r="F61" s="84"/>
      <c r="G61" s="84"/>
      <c r="H61" s="85"/>
      <c r="I61" s="86"/>
      <c r="J61" s="88"/>
    </row>
    <row r="62" spans="2:10" s="89" customFormat="1">
      <c r="B62" s="82"/>
      <c r="C62" s="149"/>
      <c r="D62" s="84"/>
      <c r="E62" s="84"/>
      <c r="F62" s="84"/>
      <c r="G62" s="84"/>
      <c r="H62" s="85"/>
      <c r="I62" s="86"/>
      <c r="J62" s="88"/>
    </row>
    <row r="63" spans="2:10" s="89" customFormat="1">
      <c r="B63" s="82"/>
      <c r="C63" s="149"/>
      <c r="D63" s="84"/>
      <c r="E63" s="84"/>
      <c r="F63" s="84"/>
      <c r="G63" s="84"/>
      <c r="H63" s="85"/>
      <c r="I63" s="86"/>
      <c r="J63" s="88"/>
    </row>
    <row r="64" spans="2:10" s="89" customFormat="1">
      <c r="B64" s="82"/>
      <c r="C64" s="149"/>
      <c r="D64" s="84"/>
      <c r="E64" s="84"/>
      <c r="F64" s="84"/>
      <c r="G64" s="84"/>
      <c r="H64" s="85"/>
      <c r="I64" s="86"/>
      <c r="J64" s="88"/>
    </row>
    <row r="65" spans="2:10" s="89" customFormat="1">
      <c r="B65" s="82"/>
      <c r="C65" s="149"/>
      <c r="D65" s="84"/>
      <c r="E65" s="84"/>
      <c r="F65" s="84"/>
      <c r="G65" s="84"/>
      <c r="H65" s="85"/>
      <c r="I65" s="86"/>
      <c r="J65" s="88"/>
    </row>
    <row r="66" spans="2:10" s="89" customFormat="1">
      <c r="B66" s="82"/>
      <c r="C66" s="149"/>
      <c r="D66" s="84"/>
      <c r="E66" s="84"/>
      <c r="F66" s="84"/>
      <c r="G66" s="84"/>
      <c r="H66" s="85"/>
      <c r="I66" s="86"/>
      <c r="J66" s="88"/>
    </row>
    <row r="67" spans="2:10" s="89" customFormat="1">
      <c r="B67" s="82"/>
      <c r="C67" s="149"/>
      <c r="D67" s="84"/>
      <c r="E67" s="84"/>
      <c r="F67" s="84"/>
      <c r="G67" s="84"/>
      <c r="H67" s="85"/>
      <c r="I67" s="86"/>
      <c r="J67" s="88"/>
    </row>
    <row r="68" spans="2:10" s="89" customFormat="1">
      <c r="B68" s="82"/>
      <c r="C68" s="149"/>
      <c r="D68" s="84"/>
      <c r="E68" s="84"/>
      <c r="F68" s="84"/>
      <c r="G68" s="84"/>
      <c r="H68" s="85"/>
      <c r="I68" s="86"/>
      <c r="J68" s="88"/>
    </row>
    <row r="69" spans="2:10" s="89" customFormat="1">
      <c r="B69" s="82"/>
      <c r="C69" s="149"/>
      <c r="D69" s="84"/>
      <c r="E69" s="84"/>
      <c r="F69" s="84"/>
      <c r="G69" s="84"/>
      <c r="H69" s="85"/>
      <c r="I69" s="86"/>
      <c r="J69" s="88"/>
    </row>
    <row r="70" spans="2:10" s="89" customFormat="1">
      <c r="B70" s="82"/>
      <c r="C70" s="149"/>
      <c r="D70" s="84"/>
      <c r="E70" s="84"/>
      <c r="F70" s="84"/>
      <c r="G70" s="84"/>
      <c r="H70" s="85"/>
      <c r="I70" s="86"/>
      <c r="J70" s="88"/>
    </row>
    <row r="71" spans="2:10" s="89" customFormat="1">
      <c r="B71" s="82"/>
      <c r="C71" s="149"/>
      <c r="D71" s="84"/>
      <c r="E71" s="84"/>
      <c r="F71" s="84"/>
      <c r="G71" s="84"/>
      <c r="H71" s="85"/>
      <c r="I71" s="86"/>
      <c r="J71" s="88"/>
    </row>
    <row r="72" spans="2:10" s="89" customFormat="1">
      <c r="B72" s="82"/>
      <c r="C72" s="149"/>
      <c r="D72" s="84"/>
      <c r="E72" s="84"/>
      <c r="F72" s="84"/>
      <c r="G72" s="84"/>
      <c r="H72" s="85"/>
      <c r="I72" s="86"/>
      <c r="J72" s="88"/>
    </row>
    <row r="73" spans="2:10" s="89" customFormat="1">
      <c r="B73" s="82"/>
      <c r="C73" s="149"/>
      <c r="D73" s="84"/>
      <c r="E73" s="84"/>
      <c r="F73" s="84"/>
      <c r="G73" s="84"/>
      <c r="H73" s="85"/>
      <c r="I73" s="86"/>
      <c r="J73" s="88"/>
    </row>
    <row r="74" spans="2:10" s="89" customFormat="1">
      <c r="B74" s="82"/>
      <c r="C74" s="149"/>
      <c r="D74" s="84"/>
      <c r="E74" s="84"/>
      <c r="F74" s="84"/>
      <c r="G74" s="84"/>
      <c r="H74" s="85"/>
      <c r="I74" s="86"/>
      <c r="J74" s="88"/>
    </row>
    <row r="75" spans="2:10" s="89" customFormat="1">
      <c r="B75" s="82"/>
      <c r="C75" s="149"/>
      <c r="D75" s="84"/>
      <c r="E75" s="84"/>
      <c r="F75" s="84"/>
      <c r="G75" s="84"/>
      <c r="H75" s="85"/>
      <c r="I75" s="86"/>
      <c r="J75" s="88"/>
    </row>
    <row r="76" spans="2:10" s="89" customFormat="1">
      <c r="B76" s="82"/>
      <c r="C76" s="149"/>
      <c r="D76" s="84"/>
      <c r="E76" s="84"/>
      <c r="F76" s="84"/>
      <c r="G76" s="84"/>
      <c r="H76" s="85"/>
      <c r="I76" s="86"/>
      <c r="J76" s="88"/>
    </row>
    <row r="77" spans="2:10" s="89" customFormat="1">
      <c r="B77" s="82"/>
      <c r="C77" s="149"/>
      <c r="D77" s="84"/>
      <c r="E77" s="84"/>
      <c r="F77" s="84"/>
      <c r="G77" s="84"/>
      <c r="H77" s="85"/>
      <c r="I77" s="86"/>
      <c r="J77" s="88"/>
    </row>
    <row r="78" spans="2:10" s="89" customFormat="1">
      <c r="B78" s="82"/>
      <c r="C78" s="149"/>
      <c r="D78" s="84"/>
      <c r="E78" s="84"/>
      <c r="F78" s="84"/>
      <c r="G78" s="84"/>
      <c r="H78" s="85"/>
      <c r="I78" s="86"/>
      <c r="J78" s="88"/>
    </row>
    <row r="79" spans="2:10" s="89" customFormat="1">
      <c r="B79" s="82"/>
      <c r="C79" s="149"/>
      <c r="D79" s="84"/>
      <c r="E79" s="84"/>
      <c r="F79" s="84"/>
      <c r="G79" s="84"/>
      <c r="H79" s="85"/>
      <c r="I79" s="86"/>
      <c r="J79" s="88"/>
    </row>
    <row r="80" spans="2:10" s="89" customFormat="1">
      <c r="B80" s="82"/>
      <c r="C80" s="149"/>
      <c r="D80" s="84"/>
      <c r="E80" s="84"/>
      <c r="F80" s="84"/>
      <c r="G80" s="84"/>
      <c r="H80" s="85"/>
      <c r="I80" s="86"/>
      <c r="J80" s="88"/>
    </row>
    <row r="81" spans="2:10" s="89" customFormat="1">
      <c r="B81" s="82"/>
      <c r="C81" s="149"/>
      <c r="D81" s="84"/>
      <c r="E81" s="84"/>
      <c r="F81" s="84"/>
      <c r="G81" s="84"/>
      <c r="H81" s="85"/>
      <c r="I81" s="86"/>
      <c r="J81" s="88"/>
    </row>
    <row r="82" spans="2:10" s="89" customFormat="1">
      <c r="B82" s="82"/>
      <c r="C82" s="149"/>
      <c r="D82" s="84"/>
      <c r="E82" s="84"/>
      <c r="F82" s="84"/>
      <c r="G82" s="84"/>
      <c r="H82" s="85"/>
      <c r="I82" s="86"/>
      <c r="J82" s="88"/>
    </row>
    <row r="83" spans="2:10" s="89" customFormat="1">
      <c r="B83" s="82"/>
      <c r="C83" s="149"/>
      <c r="D83" s="84"/>
      <c r="E83" s="84"/>
      <c r="F83" s="84"/>
      <c r="G83" s="84"/>
      <c r="H83" s="85"/>
      <c r="I83" s="86"/>
      <c r="J83" s="88"/>
    </row>
    <row r="84" spans="2:10" s="89" customFormat="1">
      <c r="B84" s="82"/>
      <c r="C84" s="149"/>
      <c r="D84" s="84"/>
      <c r="E84" s="84"/>
      <c r="F84" s="84"/>
      <c r="G84" s="84"/>
      <c r="H84" s="85"/>
      <c r="I84" s="86"/>
      <c r="J84" s="88"/>
    </row>
    <row r="85" spans="2:10" s="89" customFormat="1">
      <c r="B85" s="82"/>
      <c r="C85" s="149"/>
      <c r="D85" s="84"/>
      <c r="E85" s="84"/>
      <c r="F85" s="84"/>
      <c r="G85" s="84"/>
      <c r="H85" s="85"/>
      <c r="I85" s="86"/>
      <c r="J85" s="88"/>
    </row>
    <row r="86" spans="2:10" s="89" customFormat="1">
      <c r="B86" s="82"/>
      <c r="C86" s="149"/>
      <c r="D86" s="84"/>
      <c r="E86" s="84"/>
      <c r="F86" s="84"/>
      <c r="G86" s="84"/>
      <c r="H86" s="85"/>
      <c r="I86" s="86"/>
      <c r="J86" s="88"/>
    </row>
    <row r="87" spans="2:10" s="89" customFormat="1">
      <c r="B87" s="82"/>
      <c r="C87" s="149"/>
      <c r="D87" s="84"/>
      <c r="E87" s="84"/>
      <c r="F87" s="84"/>
      <c r="G87" s="84"/>
      <c r="H87" s="85"/>
      <c r="I87" s="86"/>
      <c r="J87" s="88"/>
    </row>
    <row r="88" spans="2:10" s="89" customFormat="1">
      <c r="B88" s="82"/>
      <c r="C88" s="149"/>
      <c r="D88" s="84"/>
      <c r="E88" s="84"/>
      <c r="F88" s="84"/>
      <c r="G88" s="84"/>
      <c r="H88" s="85"/>
      <c r="I88" s="86"/>
      <c r="J88" s="88"/>
    </row>
    <row r="89" spans="2:10" s="89" customFormat="1">
      <c r="B89" s="82"/>
      <c r="C89" s="149"/>
      <c r="D89" s="84"/>
      <c r="E89" s="84"/>
      <c r="F89" s="84"/>
      <c r="G89" s="84"/>
      <c r="H89" s="85"/>
      <c r="I89" s="86"/>
      <c r="J89" s="88"/>
    </row>
    <row r="90" spans="2:10" s="89" customFormat="1">
      <c r="B90" s="82"/>
      <c r="C90" s="149"/>
      <c r="D90" s="84"/>
      <c r="E90" s="84"/>
      <c r="F90" s="84"/>
      <c r="G90" s="84"/>
      <c r="H90" s="85"/>
      <c r="I90" s="86"/>
      <c r="J90" s="88"/>
    </row>
    <row r="91" spans="2:10" s="89" customFormat="1">
      <c r="B91" s="82"/>
      <c r="C91" s="149"/>
      <c r="D91" s="84"/>
      <c r="E91" s="84"/>
      <c r="F91" s="84"/>
      <c r="G91" s="84"/>
      <c r="H91" s="85"/>
      <c r="I91" s="86"/>
      <c r="J91" s="88"/>
    </row>
    <row r="92" spans="2:10" s="89" customFormat="1">
      <c r="B92" s="82"/>
      <c r="C92" s="149"/>
      <c r="D92" s="84"/>
      <c r="E92" s="84"/>
      <c r="F92" s="84"/>
      <c r="G92" s="84"/>
      <c r="H92" s="85"/>
      <c r="I92" s="86"/>
      <c r="J92" s="88"/>
    </row>
    <row r="93" spans="2:10" s="89" customFormat="1">
      <c r="B93" s="82"/>
      <c r="C93" s="149"/>
      <c r="D93" s="84"/>
      <c r="E93" s="84"/>
      <c r="F93" s="84"/>
      <c r="G93" s="84"/>
      <c r="H93" s="85"/>
      <c r="I93" s="86"/>
      <c r="J93" s="88"/>
    </row>
    <row r="94" spans="2:10" s="89" customFormat="1">
      <c r="B94" s="82"/>
      <c r="C94" s="149"/>
      <c r="D94" s="84"/>
      <c r="E94" s="84"/>
      <c r="F94" s="84"/>
      <c r="G94" s="84"/>
      <c r="H94" s="85"/>
      <c r="I94" s="86"/>
      <c r="J94" s="88"/>
    </row>
    <row r="95" spans="2:10" s="89" customFormat="1">
      <c r="B95" s="82"/>
      <c r="C95" s="149"/>
      <c r="D95" s="84"/>
      <c r="E95" s="84"/>
      <c r="F95" s="84"/>
      <c r="G95" s="84"/>
      <c r="H95" s="85"/>
      <c r="I95" s="86"/>
      <c r="J95" s="88"/>
    </row>
    <row r="96" spans="2:10" s="89" customFormat="1">
      <c r="B96" s="82"/>
      <c r="C96" s="149"/>
      <c r="D96" s="84"/>
      <c r="E96" s="84"/>
      <c r="F96" s="84"/>
      <c r="G96" s="84"/>
      <c r="H96" s="85"/>
      <c r="I96" s="86"/>
      <c r="J96" s="88"/>
    </row>
    <row r="97" spans="2:10" s="89" customFormat="1">
      <c r="B97" s="82"/>
      <c r="C97" s="149"/>
      <c r="D97" s="84"/>
      <c r="E97" s="84"/>
      <c r="F97" s="84"/>
      <c r="G97" s="84"/>
      <c r="H97" s="85"/>
      <c r="I97" s="86"/>
      <c r="J97" s="88"/>
    </row>
    <row r="98" spans="2:10" s="89" customFormat="1">
      <c r="B98" s="82"/>
      <c r="C98" s="149"/>
      <c r="D98" s="84"/>
      <c r="E98" s="84"/>
      <c r="F98" s="84"/>
      <c r="G98" s="84"/>
      <c r="H98" s="85"/>
      <c r="I98" s="86"/>
      <c r="J98" s="88"/>
    </row>
    <row r="99" spans="2:10" s="89" customFormat="1">
      <c r="B99" s="82"/>
      <c r="C99" s="149"/>
      <c r="D99" s="84"/>
      <c r="E99" s="84"/>
      <c r="F99" s="84"/>
      <c r="G99" s="84"/>
      <c r="H99" s="85"/>
      <c r="I99" s="86"/>
      <c r="J99" s="88"/>
    </row>
    <row r="100" spans="2:10" s="89" customFormat="1">
      <c r="B100" s="82"/>
      <c r="C100" s="149"/>
      <c r="D100" s="84"/>
      <c r="E100" s="84"/>
      <c r="F100" s="84"/>
      <c r="G100" s="84"/>
      <c r="H100" s="85"/>
      <c r="I100" s="86"/>
      <c r="J100" s="88"/>
    </row>
    <row r="101" spans="2:10" s="89" customFormat="1">
      <c r="B101" s="82"/>
      <c r="C101" s="149"/>
      <c r="D101" s="84"/>
      <c r="E101" s="84"/>
      <c r="F101" s="84"/>
      <c r="G101" s="84"/>
      <c r="H101" s="85"/>
      <c r="I101" s="86"/>
      <c r="J101" s="88"/>
    </row>
    <row r="102" spans="2:10" s="89" customFormat="1">
      <c r="B102" s="82"/>
      <c r="C102" s="149"/>
      <c r="D102" s="84"/>
      <c r="E102" s="84"/>
      <c r="F102" s="84"/>
      <c r="G102" s="84"/>
      <c r="H102" s="85"/>
      <c r="I102" s="86"/>
      <c r="J102" s="88"/>
    </row>
    <row r="103" spans="2:10" s="89" customFormat="1">
      <c r="B103" s="82"/>
      <c r="C103" s="149"/>
      <c r="D103" s="84"/>
      <c r="E103" s="84"/>
      <c r="F103" s="84"/>
      <c r="G103" s="84"/>
      <c r="H103" s="85"/>
      <c r="I103" s="86"/>
      <c r="J103" s="88"/>
    </row>
    <row r="104" spans="2:10" s="89" customFormat="1">
      <c r="B104" s="82"/>
      <c r="C104" s="149"/>
      <c r="D104" s="84"/>
      <c r="E104" s="84"/>
      <c r="F104" s="84"/>
      <c r="G104" s="84"/>
      <c r="H104" s="85"/>
      <c r="I104" s="86"/>
      <c r="J104" s="88"/>
    </row>
    <row r="105" spans="2:10" s="89" customFormat="1">
      <c r="B105" s="82"/>
      <c r="C105" s="149"/>
      <c r="D105" s="84"/>
      <c r="E105" s="84"/>
      <c r="F105" s="84"/>
      <c r="G105" s="84"/>
      <c r="H105" s="85"/>
      <c r="I105" s="86"/>
      <c r="J105" s="88"/>
    </row>
    <row r="106" spans="2:10" s="89" customFormat="1">
      <c r="B106" s="82"/>
      <c r="C106" s="149"/>
      <c r="D106" s="84"/>
      <c r="E106" s="84"/>
      <c r="F106" s="84"/>
      <c r="G106" s="84"/>
      <c r="H106" s="85"/>
      <c r="I106" s="86"/>
      <c r="J106" s="88"/>
    </row>
    <row r="107" spans="2:10" s="89" customFormat="1">
      <c r="B107" s="82"/>
      <c r="C107" s="149"/>
      <c r="D107" s="84"/>
      <c r="E107" s="84"/>
      <c r="F107" s="84"/>
      <c r="G107" s="84"/>
      <c r="H107" s="85"/>
      <c r="I107" s="86"/>
      <c r="J107" s="88"/>
    </row>
    <row r="108" spans="2:10" s="89" customFormat="1">
      <c r="B108" s="82"/>
      <c r="C108" s="149"/>
      <c r="D108" s="84"/>
      <c r="E108" s="84"/>
      <c r="F108" s="84"/>
      <c r="G108" s="84"/>
      <c r="H108" s="85"/>
      <c r="I108" s="86"/>
      <c r="J108" s="88"/>
    </row>
    <row r="109" spans="2:10" s="89" customFormat="1">
      <c r="B109" s="82"/>
      <c r="C109" s="149"/>
      <c r="D109" s="84"/>
      <c r="E109" s="84"/>
      <c r="F109" s="84"/>
      <c r="G109" s="84"/>
      <c r="H109" s="85"/>
      <c r="I109" s="86"/>
      <c r="J109" s="88"/>
    </row>
    <row r="110" spans="2:10" s="89" customFormat="1">
      <c r="B110" s="82"/>
      <c r="C110" s="149"/>
      <c r="D110" s="84"/>
      <c r="E110" s="84"/>
      <c r="F110" s="84"/>
      <c r="G110" s="84"/>
      <c r="H110" s="85"/>
      <c r="I110" s="86"/>
      <c r="J110" s="88"/>
    </row>
    <row r="111" spans="2:10" s="89" customFormat="1">
      <c r="B111" s="82"/>
      <c r="C111" s="149"/>
      <c r="D111" s="84"/>
      <c r="E111" s="84"/>
      <c r="F111" s="84"/>
      <c r="G111" s="84"/>
      <c r="H111" s="85"/>
      <c r="I111" s="86"/>
      <c r="J111" s="88"/>
    </row>
    <row r="112" spans="2:10" s="89" customFormat="1">
      <c r="B112" s="82"/>
      <c r="C112" s="149"/>
      <c r="D112" s="84"/>
      <c r="E112" s="84"/>
      <c r="F112" s="84"/>
      <c r="G112" s="84"/>
      <c r="H112" s="85"/>
      <c r="I112" s="86"/>
      <c r="J112" s="88"/>
    </row>
    <row r="113" spans="2:10" s="89" customFormat="1">
      <c r="B113" s="82"/>
      <c r="C113" s="149"/>
      <c r="D113" s="84"/>
      <c r="E113" s="84"/>
      <c r="F113" s="84"/>
      <c r="G113" s="84"/>
      <c r="H113" s="85"/>
      <c r="I113" s="86"/>
      <c r="J113" s="88"/>
    </row>
    <row r="114" spans="2:10" s="89" customFormat="1">
      <c r="B114" s="82"/>
      <c r="C114" s="149"/>
      <c r="D114" s="84"/>
      <c r="E114" s="84"/>
      <c r="F114" s="84"/>
      <c r="G114" s="84"/>
      <c r="H114" s="85"/>
      <c r="I114" s="86"/>
      <c r="J114" s="88"/>
    </row>
    <row r="115" spans="2:10" s="89" customFormat="1">
      <c r="B115" s="82"/>
      <c r="C115" s="149"/>
      <c r="D115" s="84"/>
      <c r="E115" s="84"/>
      <c r="F115" s="84"/>
      <c r="G115" s="84"/>
      <c r="H115" s="85"/>
      <c r="I115" s="86"/>
      <c r="J115" s="88"/>
    </row>
    <row r="116" spans="2:10" s="89" customFormat="1">
      <c r="B116" s="82"/>
      <c r="C116" s="149"/>
      <c r="D116" s="84"/>
      <c r="E116" s="84"/>
      <c r="F116" s="84"/>
      <c r="G116" s="84"/>
      <c r="H116" s="85"/>
      <c r="I116" s="86"/>
      <c r="J116" s="88"/>
    </row>
    <row r="117" spans="2:10" s="89" customFormat="1">
      <c r="B117" s="82"/>
      <c r="C117" s="149"/>
      <c r="D117" s="84"/>
      <c r="E117" s="84"/>
      <c r="F117" s="84"/>
      <c r="G117" s="84"/>
      <c r="H117" s="85"/>
      <c r="I117" s="86"/>
      <c r="J117" s="88"/>
    </row>
    <row r="118" spans="2:10" s="89" customFormat="1">
      <c r="B118" s="82"/>
      <c r="C118" s="149"/>
      <c r="D118" s="84"/>
      <c r="E118" s="84"/>
      <c r="F118" s="84"/>
      <c r="G118" s="84"/>
      <c r="H118" s="85"/>
      <c r="I118" s="86"/>
      <c r="J118" s="88"/>
    </row>
    <row r="119" spans="2:10" s="89" customFormat="1">
      <c r="B119" s="82"/>
      <c r="C119" s="149"/>
      <c r="D119" s="84"/>
      <c r="E119" s="84"/>
      <c r="F119" s="84"/>
      <c r="G119" s="84"/>
      <c r="H119" s="85"/>
      <c r="I119" s="86"/>
      <c r="J119" s="88"/>
    </row>
    <row r="120" spans="2:10" s="89" customFormat="1">
      <c r="B120" s="82"/>
      <c r="C120" s="149"/>
      <c r="D120" s="84"/>
      <c r="E120" s="84"/>
      <c r="F120" s="84"/>
      <c r="G120" s="84"/>
      <c r="H120" s="85"/>
      <c r="I120" s="86"/>
      <c r="J120" s="88"/>
    </row>
    <row r="121" spans="2:10" s="89" customFormat="1">
      <c r="B121" s="82"/>
      <c r="C121" s="149"/>
      <c r="D121" s="84"/>
      <c r="E121" s="84"/>
      <c r="F121" s="84"/>
      <c r="G121" s="84"/>
      <c r="H121" s="85"/>
      <c r="I121" s="86"/>
      <c r="J121" s="88"/>
    </row>
    <row r="122" spans="2:10" s="89" customFormat="1">
      <c r="B122" s="82"/>
      <c r="C122" s="149"/>
      <c r="D122" s="84"/>
      <c r="E122" s="84"/>
      <c r="F122" s="84"/>
      <c r="G122" s="84"/>
      <c r="H122" s="85"/>
      <c r="I122" s="86"/>
      <c r="J122" s="88"/>
    </row>
    <row r="123" spans="2:10" s="89" customFormat="1">
      <c r="B123" s="82"/>
      <c r="C123" s="149"/>
      <c r="D123" s="84"/>
      <c r="E123" s="84"/>
      <c r="F123" s="84"/>
      <c r="G123" s="84"/>
      <c r="H123" s="85"/>
      <c r="I123" s="86"/>
      <c r="J123" s="88"/>
    </row>
    <row r="124" spans="2:10" s="89" customFormat="1">
      <c r="B124" s="82"/>
      <c r="C124" s="149"/>
      <c r="D124" s="84"/>
      <c r="E124" s="84"/>
      <c r="F124" s="84"/>
      <c r="G124" s="84"/>
      <c r="H124" s="85"/>
      <c r="I124" s="86"/>
      <c r="J124" s="88"/>
    </row>
    <row r="125" spans="2:10" s="89" customFormat="1">
      <c r="B125" s="82"/>
      <c r="C125" s="149"/>
      <c r="D125" s="84"/>
      <c r="E125" s="84"/>
      <c r="F125" s="84"/>
      <c r="G125" s="84"/>
      <c r="H125" s="85"/>
      <c r="I125" s="86"/>
      <c r="J125" s="88"/>
    </row>
    <row r="126" spans="2:10" s="89" customFormat="1">
      <c r="B126" s="82"/>
      <c r="C126" s="149"/>
      <c r="D126" s="84"/>
      <c r="E126" s="84"/>
      <c r="F126" s="84"/>
      <c r="G126" s="84"/>
      <c r="H126" s="85"/>
      <c r="I126" s="86"/>
      <c r="J126" s="88"/>
    </row>
    <row r="127" spans="2:10" s="89" customFormat="1">
      <c r="B127" s="82"/>
      <c r="C127" s="149"/>
      <c r="D127" s="84"/>
      <c r="E127" s="84"/>
      <c r="F127" s="84"/>
      <c r="G127" s="84"/>
      <c r="H127" s="85"/>
      <c r="I127" s="86"/>
      <c r="J127" s="88"/>
    </row>
    <row r="128" spans="2:10" s="89" customFormat="1">
      <c r="B128" s="82"/>
      <c r="C128" s="149"/>
      <c r="D128" s="84"/>
      <c r="E128" s="84"/>
      <c r="F128" s="84"/>
      <c r="G128" s="84"/>
      <c r="H128" s="85"/>
      <c r="I128" s="86"/>
      <c r="J128" s="88"/>
    </row>
    <row r="129" spans="2:10" s="89" customFormat="1">
      <c r="B129" s="82"/>
      <c r="C129" s="149"/>
      <c r="D129" s="84"/>
      <c r="E129" s="84"/>
      <c r="F129" s="84"/>
      <c r="G129" s="84"/>
      <c r="H129" s="85"/>
      <c r="I129" s="86"/>
      <c r="J129" s="88"/>
    </row>
    <row r="130" spans="2:10" s="89" customFormat="1">
      <c r="B130" s="82"/>
      <c r="C130" s="149"/>
      <c r="D130" s="84"/>
      <c r="E130" s="84"/>
      <c r="F130" s="84"/>
      <c r="G130" s="84"/>
      <c r="H130" s="85"/>
      <c r="I130" s="86"/>
      <c r="J130" s="88"/>
    </row>
    <row r="131" spans="2:10" s="89" customFormat="1">
      <c r="B131" s="82"/>
      <c r="C131" s="149"/>
      <c r="D131" s="84"/>
      <c r="E131" s="84"/>
      <c r="F131" s="84"/>
      <c r="G131" s="84"/>
      <c r="H131" s="85"/>
      <c r="I131" s="86"/>
      <c r="J131" s="88"/>
    </row>
    <row r="132" spans="2:10" s="89" customFormat="1">
      <c r="B132" s="82"/>
      <c r="C132" s="149"/>
      <c r="D132" s="84"/>
      <c r="E132" s="84"/>
      <c r="F132" s="84"/>
      <c r="G132" s="84"/>
      <c r="H132" s="85"/>
      <c r="I132" s="86"/>
      <c r="J132" s="88"/>
    </row>
    <row r="133" spans="2:10" s="89" customFormat="1">
      <c r="B133" s="82"/>
      <c r="C133" s="149"/>
      <c r="D133" s="84"/>
      <c r="E133" s="84"/>
      <c r="F133" s="84"/>
      <c r="G133" s="84"/>
      <c r="H133" s="85"/>
      <c r="I133" s="86"/>
      <c r="J133" s="88"/>
    </row>
    <row r="134" spans="2:10" s="89" customFormat="1">
      <c r="B134" s="82"/>
      <c r="C134" s="149"/>
      <c r="D134" s="84"/>
      <c r="E134" s="84"/>
      <c r="F134" s="84"/>
      <c r="G134" s="84"/>
      <c r="H134" s="85"/>
      <c r="I134" s="86"/>
      <c r="J134" s="88"/>
    </row>
    <row r="135" spans="2:10" s="89" customFormat="1">
      <c r="B135" s="82"/>
      <c r="C135" s="149"/>
      <c r="D135" s="84"/>
      <c r="E135" s="84"/>
      <c r="F135" s="84"/>
      <c r="G135" s="84"/>
      <c r="H135" s="85"/>
      <c r="I135" s="86"/>
      <c r="J135" s="88"/>
    </row>
    <row r="136" spans="2:10" s="89" customFormat="1">
      <c r="B136" s="82"/>
      <c r="C136" s="149"/>
      <c r="D136" s="84"/>
      <c r="E136" s="84"/>
      <c r="F136" s="84"/>
      <c r="G136" s="84"/>
      <c r="H136" s="85"/>
      <c r="I136" s="86"/>
      <c r="J136" s="88"/>
    </row>
    <row r="137" spans="2:10" s="89" customFormat="1">
      <c r="B137" s="82"/>
      <c r="C137" s="149"/>
      <c r="D137" s="84"/>
      <c r="E137" s="84"/>
      <c r="F137" s="84"/>
      <c r="G137" s="84"/>
      <c r="H137" s="85"/>
      <c r="I137" s="86"/>
      <c r="J137" s="88"/>
    </row>
    <row r="138" spans="2:10" s="89" customFormat="1">
      <c r="B138" s="82"/>
      <c r="C138" s="149"/>
      <c r="D138" s="84"/>
      <c r="E138" s="84"/>
      <c r="F138" s="84"/>
      <c r="G138" s="84"/>
      <c r="H138" s="85"/>
      <c r="I138" s="86"/>
      <c r="J138" s="88"/>
    </row>
    <row r="139" spans="2:10" s="89" customFormat="1">
      <c r="B139" s="82"/>
      <c r="C139" s="149"/>
      <c r="D139" s="84"/>
      <c r="E139" s="84"/>
      <c r="F139" s="84"/>
      <c r="G139" s="84"/>
      <c r="H139" s="85"/>
      <c r="I139" s="86"/>
      <c r="J139" s="88"/>
    </row>
    <row r="140" spans="2:10" s="89" customFormat="1">
      <c r="B140" s="82"/>
      <c r="C140" s="149"/>
      <c r="D140" s="84"/>
      <c r="E140" s="84"/>
      <c r="F140" s="84"/>
      <c r="G140" s="84"/>
      <c r="H140" s="85"/>
      <c r="I140" s="86"/>
      <c r="J140" s="88"/>
    </row>
    <row r="141" spans="2:10" s="89" customFormat="1">
      <c r="B141" s="82"/>
      <c r="C141" s="149"/>
      <c r="D141" s="84"/>
      <c r="E141" s="84"/>
      <c r="F141" s="84"/>
      <c r="G141" s="84"/>
      <c r="H141" s="85"/>
      <c r="I141" s="86"/>
      <c r="J141" s="88"/>
    </row>
    <row r="142" spans="2:10" s="89" customFormat="1">
      <c r="B142" s="82"/>
      <c r="C142" s="149"/>
      <c r="D142" s="84"/>
      <c r="E142" s="84"/>
      <c r="F142" s="84"/>
      <c r="G142" s="84"/>
      <c r="H142" s="85"/>
      <c r="I142" s="86"/>
      <c r="J142" s="88"/>
    </row>
    <row r="143" spans="2:10" s="89" customFormat="1">
      <c r="B143" s="82"/>
      <c r="C143" s="149"/>
      <c r="D143" s="84"/>
      <c r="E143" s="84"/>
      <c r="F143" s="84"/>
      <c r="G143" s="84"/>
      <c r="H143" s="85"/>
      <c r="I143" s="86"/>
      <c r="J143" s="88"/>
    </row>
    <row r="144" spans="2:10" s="89" customFormat="1">
      <c r="B144" s="82"/>
      <c r="C144" s="149"/>
      <c r="D144" s="84"/>
      <c r="E144" s="84"/>
      <c r="F144" s="84"/>
      <c r="G144" s="84"/>
      <c r="H144" s="85"/>
      <c r="I144" s="86"/>
      <c r="J144" s="88"/>
    </row>
    <row r="145" spans="2:10" s="89" customFormat="1">
      <c r="B145" s="82"/>
      <c r="C145" s="149"/>
      <c r="D145" s="84"/>
      <c r="E145" s="84"/>
      <c r="F145" s="84"/>
      <c r="G145" s="84"/>
      <c r="H145" s="85"/>
      <c r="I145" s="86"/>
      <c r="J145" s="88"/>
    </row>
    <row r="146" spans="2:10" s="89" customFormat="1">
      <c r="B146" s="82"/>
      <c r="C146" s="149"/>
      <c r="D146" s="84"/>
      <c r="E146" s="84"/>
      <c r="F146" s="84"/>
      <c r="G146" s="84"/>
      <c r="H146" s="85"/>
      <c r="I146" s="86"/>
      <c r="J146" s="88"/>
    </row>
    <row r="147" spans="2:10" s="89" customFormat="1">
      <c r="B147" s="82"/>
      <c r="C147" s="149"/>
      <c r="D147" s="84"/>
      <c r="E147" s="84"/>
      <c r="F147" s="84"/>
      <c r="G147" s="84"/>
      <c r="H147" s="85"/>
      <c r="I147" s="86"/>
      <c r="J147" s="88"/>
    </row>
    <row r="148" spans="2:10" s="89" customFormat="1">
      <c r="B148" s="82"/>
      <c r="C148" s="149"/>
      <c r="D148" s="84"/>
      <c r="E148" s="84"/>
      <c r="F148" s="84"/>
      <c r="G148" s="84"/>
      <c r="H148" s="85"/>
      <c r="I148" s="86"/>
      <c r="J148" s="88"/>
    </row>
    <row r="149" spans="2:10" s="89" customFormat="1">
      <c r="B149" s="82"/>
      <c r="C149" s="149"/>
      <c r="D149" s="84"/>
      <c r="E149" s="84"/>
      <c r="F149" s="84"/>
      <c r="G149" s="84"/>
      <c r="H149" s="85"/>
      <c r="I149" s="86"/>
      <c r="J149" s="88"/>
    </row>
    <row r="150" spans="2:10" s="89" customFormat="1">
      <c r="B150" s="82"/>
      <c r="C150" s="149"/>
      <c r="D150" s="84"/>
      <c r="E150" s="84"/>
      <c r="F150" s="84"/>
      <c r="G150" s="84"/>
      <c r="H150" s="85"/>
      <c r="I150" s="86"/>
      <c r="J150" s="88"/>
    </row>
    <row r="151" spans="2:10" s="89" customFormat="1">
      <c r="B151" s="82"/>
      <c r="C151" s="149"/>
      <c r="D151" s="84"/>
      <c r="E151" s="84"/>
      <c r="F151" s="84"/>
      <c r="G151" s="84"/>
      <c r="H151" s="85"/>
      <c r="I151" s="86"/>
      <c r="J151" s="88"/>
    </row>
    <row r="152" spans="2:10" s="89" customFormat="1">
      <c r="B152" s="82"/>
      <c r="C152" s="149"/>
      <c r="D152" s="84"/>
      <c r="E152" s="84"/>
      <c r="F152" s="84"/>
      <c r="G152" s="84"/>
      <c r="H152" s="85"/>
      <c r="I152" s="86"/>
      <c r="J152" s="88"/>
    </row>
    <row r="153" spans="2:10" s="89" customFormat="1">
      <c r="B153" s="82"/>
      <c r="C153" s="149"/>
      <c r="D153" s="84"/>
      <c r="E153" s="84"/>
      <c r="F153" s="84"/>
      <c r="G153" s="84"/>
      <c r="H153" s="85"/>
      <c r="I153" s="86"/>
      <c r="J153" s="88"/>
    </row>
    <row r="154" spans="2:10" s="89" customFormat="1">
      <c r="B154" s="82"/>
      <c r="C154" s="149"/>
      <c r="D154" s="84"/>
      <c r="E154" s="84"/>
      <c r="F154" s="84"/>
      <c r="G154" s="84"/>
      <c r="H154" s="85"/>
      <c r="I154" s="86"/>
      <c r="J154" s="88"/>
    </row>
    <row r="155" spans="2:10" s="89" customFormat="1">
      <c r="B155" s="82"/>
      <c r="C155" s="149"/>
      <c r="D155" s="84"/>
      <c r="E155" s="84"/>
      <c r="F155" s="84"/>
      <c r="G155" s="84"/>
      <c r="H155" s="85"/>
      <c r="I155" s="86"/>
      <c r="J155" s="88"/>
    </row>
    <row r="156" spans="2:10" s="89" customFormat="1">
      <c r="B156" s="82"/>
      <c r="C156" s="149"/>
      <c r="D156" s="84"/>
      <c r="E156" s="84"/>
      <c r="F156" s="84"/>
      <c r="G156" s="84"/>
      <c r="H156" s="85"/>
      <c r="I156" s="86"/>
      <c r="J156" s="88"/>
    </row>
    <row r="157" spans="2:10" s="89" customFormat="1">
      <c r="B157" s="82"/>
      <c r="C157" s="149"/>
      <c r="D157" s="84"/>
      <c r="E157" s="84"/>
      <c r="F157" s="84"/>
      <c r="G157" s="84"/>
      <c r="H157" s="85"/>
      <c r="I157" s="86"/>
      <c r="J157" s="88"/>
    </row>
    <row r="158" spans="2:10" s="89" customFormat="1">
      <c r="B158" s="82"/>
      <c r="C158" s="149"/>
      <c r="D158" s="84"/>
      <c r="E158" s="84"/>
      <c r="F158" s="84"/>
      <c r="G158" s="84"/>
      <c r="H158" s="85"/>
      <c r="I158" s="86"/>
      <c r="J158" s="88"/>
    </row>
    <row r="159" spans="2:10" s="89" customFormat="1">
      <c r="B159" s="82"/>
      <c r="C159" s="149"/>
      <c r="D159" s="84"/>
      <c r="E159" s="84"/>
      <c r="F159" s="84"/>
      <c r="G159" s="84"/>
      <c r="H159" s="85"/>
      <c r="I159" s="86"/>
      <c r="J159" s="88"/>
    </row>
    <row r="160" spans="2:10" s="89" customFormat="1">
      <c r="B160" s="82"/>
      <c r="C160" s="149"/>
      <c r="D160" s="84"/>
      <c r="E160" s="84"/>
      <c r="F160" s="84"/>
      <c r="G160" s="84"/>
      <c r="H160" s="85"/>
      <c r="I160" s="86"/>
      <c r="J160" s="88"/>
    </row>
    <row r="161" spans="2:10" s="89" customFormat="1">
      <c r="B161" s="82"/>
      <c r="C161" s="149"/>
      <c r="D161" s="84"/>
      <c r="E161" s="84"/>
      <c r="F161" s="84"/>
      <c r="G161" s="84"/>
      <c r="H161" s="85"/>
      <c r="I161" s="86"/>
      <c r="J161" s="88"/>
    </row>
    <row r="162" spans="2:10" s="89" customFormat="1">
      <c r="B162" s="82"/>
      <c r="C162" s="149"/>
      <c r="D162" s="84"/>
      <c r="E162" s="84"/>
      <c r="F162" s="84"/>
      <c r="G162" s="84"/>
      <c r="H162" s="85"/>
      <c r="I162" s="86"/>
      <c r="J162" s="88"/>
    </row>
    <row r="163" spans="2:10" s="89" customFormat="1">
      <c r="B163" s="82"/>
      <c r="C163" s="149"/>
      <c r="D163" s="84"/>
      <c r="E163" s="84"/>
      <c r="F163" s="84"/>
      <c r="G163" s="84"/>
      <c r="H163" s="85"/>
      <c r="I163" s="86"/>
      <c r="J163" s="88"/>
    </row>
    <row r="164" spans="2:10" s="89" customFormat="1">
      <c r="B164" s="82"/>
      <c r="C164" s="149"/>
      <c r="D164" s="84"/>
      <c r="E164" s="84"/>
      <c r="F164" s="84"/>
      <c r="G164" s="84"/>
      <c r="H164" s="85"/>
      <c r="I164" s="86"/>
      <c r="J164" s="88"/>
    </row>
    <row r="165" spans="2:10" s="89" customFormat="1">
      <c r="B165" s="82"/>
      <c r="C165" s="149"/>
      <c r="D165" s="84"/>
      <c r="E165" s="84"/>
      <c r="F165" s="84"/>
      <c r="G165" s="84"/>
      <c r="H165" s="85"/>
      <c r="I165" s="86"/>
      <c r="J165" s="88"/>
    </row>
    <row r="166" spans="2:10" s="89" customFormat="1">
      <c r="B166" s="82"/>
      <c r="C166" s="149"/>
      <c r="D166" s="84"/>
      <c r="E166" s="84"/>
      <c r="F166" s="84"/>
      <c r="G166" s="84"/>
      <c r="H166" s="85"/>
      <c r="I166" s="86"/>
      <c r="J166" s="88"/>
    </row>
    <row r="167" spans="2:10" s="89" customFormat="1">
      <c r="B167" s="82"/>
      <c r="C167" s="149"/>
      <c r="D167" s="84"/>
      <c r="E167" s="84"/>
      <c r="F167" s="84"/>
      <c r="G167" s="84"/>
      <c r="H167" s="85"/>
      <c r="I167" s="86"/>
      <c r="J167" s="88"/>
    </row>
    <row r="168" spans="2:10" s="89" customFormat="1">
      <c r="B168" s="82"/>
      <c r="C168" s="149"/>
      <c r="D168" s="84"/>
      <c r="E168" s="84"/>
      <c r="F168" s="84"/>
      <c r="G168" s="84"/>
      <c r="H168" s="85"/>
      <c r="I168" s="86"/>
      <c r="J168" s="88"/>
    </row>
    <row r="169" spans="2:10" s="89" customFormat="1">
      <c r="B169" s="82"/>
      <c r="C169" s="149"/>
      <c r="D169" s="84"/>
      <c r="E169" s="84"/>
      <c r="F169" s="84"/>
      <c r="G169" s="84"/>
      <c r="H169" s="85"/>
      <c r="I169" s="86"/>
      <c r="J169" s="88"/>
    </row>
    <row r="170" spans="2:10" s="89" customFormat="1">
      <c r="B170" s="82"/>
      <c r="C170" s="149"/>
      <c r="D170" s="84"/>
      <c r="E170" s="84"/>
      <c r="F170" s="84"/>
      <c r="G170" s="84"/>
      <c r="H170" s="85"/>
      <c r="I170" s="86"/>
      <c r="J170" s="88"/>
    </row>
    <row r="171" spans="2:10" s="89" customFormat="1">
      <c r="B171" s="82"/>
      <c r="C171" s="149"/>
      <c r="D171" s="84"/>
      <c r="E171" s="84"/>
      <c r="F171" s="84"/>
      <c r="G171" s="84"/>
      <c r="H171" s="85"/>
      <c r="I171" s="86"/>
      <c r="J171" s="88"/>
    </row>
    <row r="172" spans="2:10" s="89" customFormat="1">
      <c r="B172" s="82"/>
      <c r="C172" s="149"/>
      <c r="D172" s="84"/>
      <c r="E172" s="84"/>
      <c r="F172" s="84"/>
      <c r="G172" s="84"/>
      <c r="H172" s="85"/>
      <c r="I172" s="86"/>
      <c r="J172" s="88"/>
    </row>
    <row r="173" spans="2:10" s="89" customFormat="1">
      <c r="B173" s="82"/>
      <c r="C173" s="149"/>
      <c r="D173" s="84"/>
      <c r="E173" s="84"/>
      <c r="F173" s="84"/>
      <c r="G173" s="84"/>
      <c r="H173" s="85"/>
      <c r="I173" s="86"/>
      <c r="J173" s="88"/>
    </row>
    <row r="174" spans="2:10" s="89" customFormat="1">
      <c r="B174" s="82"/>
      <c r="C174" s="149"/>
      <c r="D174" s="84"/>
      <c r="E174" s="84"/>
      <c r="F174" s="84"/>
      <c r="G174" s="84"/>
      <c r="H174" s="85"/>
      <c r="I174" s="86"/>
      <c r="J174" s="88"/>
    </row>
    <row r="175" spans="2:10" s="89" customFormat="1">
      <c r="B175" s="82"/>
      <c r="C175" s="149"/>
      <c r="D175" s="84"/>
      <c r="E175" s="84"/>
      <c r="F175" s="84"/>
      <c r="G175" s="84"/>
      <c r="H175" s="85"/>
      <c r="I175" s="86"/>
      <c r="J175" s="88"/>
    </row>
    <row r="176" spans="2:10" s="89" customFormat="1">
      <c r="B176" s="82"/>
      <c r="C176" s="149"/>
      <c r="D176" s="84"/>
      <c r="E176" s="84"/>
      <c r="F176" s="84"/>
      <c r="G176" s="84"/>
      <c r="H176" s="85"/>
      <c r="I176" s="86"/>
      <c r="J176" s="88"/>
    </row>
    <row r="177" spans="2:10" s="89" customFormat="1">
      <c r="B177" s="82"/>
      <c r="C177" s="149"/>
      <c r="D177" s="84"/>
      <c r="E177" s="84"/>
      <c r="F177" s="84"/>
      <c r="G177" s="84"/>
      <c r="H177" s="85"/>
      <c r="I177" s="86"/>
      <c r="J177" s="88"/>
    </row>
    <row r="178" spans="2:10" s="89" customFormat="1">
      <c r="B178" s="82"/>
      <c r="C178" s="149"/>
      <c r="D178" s="84"/>
      <c r="E178" s="84"/>
      <c r="F178" s="84"/>
      <c r="G178" s="84"/>
      <c r="H178" s="85"/>
      <c r="I178" s="86"/>
      <c r="J178" s="88"/>
    </row>
    <row r="179" spans="2:10" s="89" customFormat="1">
      <c r="B179" s="82"/>
      <c r="C179" s="149"/>
      <c r="D179" s="84"/>
      <c r="E179" s="84"/>
      <c r="F179" s="84"/>
      <c r="G179" s="84"/>
      <c r="H179" s="85"/>
      <c r="I179" s="86"/>
      <c r="J179" s="88"/>
    </row>
    <row r="180" spans="2:10" s="89" customFormat="1">
      <c r="B180" s="82"/>
      <c r="C180" s="149"/>
      <c r="D180" s="84"/>
      <c r="E180" s="84"/>
      <c r="F180" s="84"/>
      <c r="G180" s="84"/>
      <c r="H180" s="85"/>
      <c r="I180" s="86"/>
      <c r="J180" s="88"/>
    </row>
    <row r="181" spans="2:10" s="89" customFormat="1">
      <c r="B181" s="82"/>
      <c r="C181" s="149"/>
      <c r="D181" s="84"/>
      <c r="E181" s="84"/>
      <c r="F181" s="84"/>
      <c r="G181" s="84"/>
      <c r="H181" s="85"/>
      <c r="I181" s="86"/>
      <c r="J181" s="88"/>
    </row>
    <row r="182" spans="2:10" s="89" customFormat="1">
      <c r="B182" s="82"/>
      <c r="C182" s="149"/>
      <c r="D182" s="84"/>
      <c r="E182" s="84"/>
      <c r="F182" s="84"/>
      <c r="G182" s="84"/>
      <c r="H182" s="85"/>
      <c r="I182" s="86"/>
      <c r="J182" s="88"/>
    </row>
    <row r="183" spans="2:10" s="89" customFormat="1">
      <c r="B183" s="82"/>
      <c r="C183" s="149"/>
      <c r="D183" s="84"/>
      <c r="E183" s="84"/>
      <c r="F183" s="84"/>
      <c r="G183" s="84"/>
      <c r="H183" s="85"/>
      <c r="I183" s="86"/>
      <c r="J183" s="88"/>
    </row>
    <row r="184" spans="2:10" s="89" customFormat="1">
      <c r="B184" s="82"/>
      <c r="C184" s="149"/>
      <c r="D184" s="84"/>
      <c r="E184" s="84"/>
      <c r="F184" s="84"/>
      <c r="G184" s="84"/>
      <c r="H184" s="85"/>
      <c r="I184" s="86"/>
      <c r="J184" s="88"/>
    </row>
    <row r="185" spans="2:10" s="89" customFormat="1">
      <c r="B185" s="82"/>
      <c r="C185" s="149"/>
      <c r="D185" s="84"/>
      <c r="E185" s="84"/>
      <c r="F185" s="84"/>
      <c r="G185" s="84"/>
      <c r="H185" s="85"/>
      <c r="I185" s="86"/>
      <c r="J185" s="88"/>
    </row>
    <row r="186" spans="2:10" s="89" customFormat="1">
      <c r="B186" s="82"/>
      <c r="C186" s="149"/>
      <c r="D186" s="84"/>
      <c r="E186" s="84"/>
      <c r="F186" s="84"/>
      <c r="G186" s="84"/>
      <c r="H186" s="85"/>
      <c r="I186" s="86"/>
      <c r="J186" s="88"/>
    </row>
    <row r="187" spans="2:10" s="89" customFormat="1">
      <c r="B187" s="82"/>
      <c r="C187" s="149"/>
      <c r="D187" s="84"/>
      <c r="E187" s="84"/>
      <c r="F187" s="84"/>
      <c r="G187" s="84"/>
      <c r="H187" s="85"/>
      <c r="I187" s="86"/>
      <c r="J187" s="88"/>
    </row>
    <row r="188" spans="2:10" s="89" customFormat="1">
      <c r="B188" s="82"/>
      <c r="C188" s="149"/>
      <c r="D188" s="84"/>
      <c r="E188" s="84"/>
      <c r="F188" s="84"/>
      <c r="G188" s="84"/>
      <c r="H188" s="85"/>
      <c r="I188" s="86"/>
      <c r="J188" s="88"/>
    </row>
    <row r="189" spans="2:10" s="89" customFormat="1">
      <c r="B189" s="82"/>
      <c r="C189" s="149"/>
      <c r="D189" s="84"/>
      <c r="E189" s="84"/>
      <c r="F189" s="84"/>
      <c r="G189" s="84"/>
      <c r="H189" s="85"/>
      <c r="I189" s="86"/>
      <c r="J189" s="88"/>
    </row>
    <row r="190" spans="2:10" s="89" customFormat="1">
      <c r="B190" s="82"/>
      <c r="C190" s="149"/>
      <c r="D190" s="84"/>
      <c r="E190" s="84"/>
      <c r="F190" s="84"/>
      <c r="G190" s="84"/>
      <c r="H190" s="85"/>
      <c r="I190" s="86"/>
      <c r="J190" s="88"/>
    </row>
    <row r="191" spans="2:10" s="89" customFormat="1">
      <c r="B191" s="82"/>
      <c r="C191" s="149"/>
      <c r="D191" s="84"/>
      <c r="E191" s="84"/>
      <c r="F191" s="84"/>
      <c r="G191" s="84"/>
      <c r="H191" s="85"/>
      <c r="I191" s="86"/>
      <c r="J191" s="88"/>
    </row>
    <row r="192" spans="2:10" s="89" customFormat="1">
      <c r="B192" s="82"/>
      <c r="C192" s="149"/>
      <c r="D192" s="84"/>
      <c r="E192" s="84"/>
      <c r="F192" s="84"/>
      <c r="G192" s="84"/>
      <c r="H192" s="85"/>
      <c r="I192" s="86"/>
      <c r="J192" s="88"/>
    </row>
    <row r="193" spans="2:10" s="89" customFormat="1">
      <c r="B193" s="82"/>
      <c r="C193" s="149"/>
      <c r="D193" s="84"/>
      <c r="E193" s="84"/>
      <c r="F193" s="84"/>
      <c r="G193" s="84"/>
      <c r="H193" s="85"/>
      <c r="I193" s="86"/>
      <c r="J193" s="88"/>
    </row>
    <row r="194" spans="2:10" s="89" customFormat="1">
      <c r="B194" s="82"/>
      <c r="C194" s="149"/>
      <c r="D194" s="84"/>
      <c r="E194" s="84"/>
      <c r="F194" s="84"/>
      <c r="G194" s="84"/>
      <c r="H194" s="85"/>
      <c r="I194" s="86"/>
      <c r="J194" s="88"/>
    </row>
    <row r="195" spans="2:10" s="89" customFormat="1">
      <c r="B195" s="82"/>
      <c r="C195" s="149"/>
      <c r="D195" s="84"/>
      <c r="E195" s="84"/>
      <c r="F195" s="84"/>
      <c r="G195" s="84"/>
      <c r="H195" s="85"/>
      <c r="I195" s="86"/>
      <c r="J195" s="88"/>
    </row>
    <row r="196" spans="2:10" s="89" customFormat="1">
      <c r="B196" s="82"/>
      <c r="C196" s="149"/>
      <c r="D196" s="84"/>
      <c r="E196" s="84"/>
      <c r="F196" s="84"/>
      <c r="G196" s="84"/>
      <c r="H196" s="85"/>
      <c r="I196" s="86"/>
      <c r="J196" s="88"/>
    </row>
    <row r="197" spans="2:10" s="89" customFormat="1">
      <c r="B197" s="82"/>
      <c r="C197" s="149"/>
      <c r="D197" s="84"/>
      <c r="E197" s="84"/>
      <c r="F197" s="84"/>
      <c r="G197" s="84"/>
      <c r="H197" s="85"/>
      <c r="I197" s="86"/>
      <c r="J197" s="88"/>
    </row>
    <row r="198" spans="2:10" s="89" customFormat="1">
      <c r="B198" s="82"/>
      <c r="C198" s="149"/>
      <c r="D198" s="84"/>
      <c r="E198" s="84"/>
      <c r="F198" s="84"/>
      <c r="G198" s="84"/>
      <c r="H198" s="85"/>
      <c r="I198" s="86"/>
      <c r="J198" s="88"/>
    </row>
    <row r="199" spans="2:10" s="89" customFormat="1">
      <c r="B199" s="82"/>
      <c r="C199" s="149"/>
      <c r="D199" s="84"/>
      <c r="E199" s="84"/>
      <c r="F199" s="84"/>
      <c r="G199" s="84"/>
      <c r="H199" s="85"/>
      <c r="I199" s="86"/>
      <c r="J199" s="88"/>
    </row>
    <row r="200" spans="2:10" s="89" customFormat="1">
      <c r="B200" s="82"/>
      <c r="C200" s="149"/>
      <c r="D200" s="84"/>
      <c r="E200" s="84"/>
      <c r="F200" s="84"/>
      <c r="G200" s="84"/>
      <c r="H200" s="85"/>
      <c r="I200" s="86"/>
      <c r="J200" s="88"/>
    </row>
    <row r="201" spans="2:10" s="89" customFormat="1">
      <c r="B201" s="82"/>
      <c r="C201" s="149"/>
      <c r="D201" s="84"/>
      <c r="E201" s="84"/>
      <c r="F201" s="84"/>
      <c r="G201" s="84"/>
      <c r="H201" s="85"/>
      <c r="I201" s="86"/>
      <c r="J201" s="88"/>
    </row>
    <row r="202" spans="2:10" s="89" customFormat="1">
      <c r="B202" s="82"/>
      <c r="C202" s="149"/>
      <c r="D202" s="84"/>
      <c r="E202" s="84"/>
      <c r="F202" s="84"/>
      <c r="G202" s="84"/>
      <c r="H202" s="85"/>
      <c r="I202" s="86"/>
      <c r="J202" s="88"/>
    </row>
    <row r="203" spans="2:10" s="89" customFormat="1">
      <c r="B203" s="82"/>
      <c r="C203" s="149"/>
      <c r="D203" s="84"/>
      <c r="E203" s="84"/>
      <c r="F203" s="84"/>
      <c r="G203" s="84"/>
      <c r="H203" s="85"/>
      <c r="I203" s="86"/>
      <c r="J203" s="88"/>
    </row>
    <row r="204" spans="2:10" s="89" customFormat="1">
      <c r="B204" s="82"/>
      <c r="C204" s="149"/>
      <c r="D204" s="84"/>
      <c r="E204" s="84"/>
      <c r="F204" s="84"/>
      <c r="G204" s="84"/>
      <c r="H204" s="85"/>
      <c r="I204" s="86"/>
      <c r="J204" s="88"/>
    </row>
    <row r="205" spans="2:10" s="89" customFormat="1">
      <c r="B205" s="82"/>
      <c r="C205" s="149"/>
      <c r="D205" s="84"/>
      <c r="E205" s="84"/>
      <c r="F205" s="84"/>
      <c r="G205" s="84"/>
      <c r="H205" s="85"/>
      <c r="I205" s="86"/>
      <c r="J205" s="88"/>
    </row>
    <row r="206" spans="2:10" s="89" customFormat="1">
      <c r="B206" s="82"/>
      <c r="C206" s="149"/>
      <c r="D206" s="84"/>
      <c r="E206" s="84"/>
      <c r="F206" s="84"/>
      <c r="G206" s="84"/>
      <c r="H206" s="85"/>
      <c r="I206" s="86"/>
      <c r="J206" s="88"/>
    </row>
    <row r="207" spans="2:10" s="89" customFormat="1">
      <c r="B207" s="82"/>
      <c r="C207" s="149"/>
      <c r="D207" s="84"/>
      <c r="E207" s="84"/>
      <c r="F207" s="84"/>
      <c r="G207" s="84"/>
      <c r="H207" s="85"/>
      <c r="I207" s="86"/>
      <c r="J207" s="88"/>
    </row>
    <row r="208" spans="2:10" s="89" customFormat="1">
      <c r="B208" s="82"/>
      <c r="C208" s="149"/>
      <c r="D208" s="84"/>
      <c r="E208" s="84"/>
      <c r="F208" s="84"/>
      <c r="G208" s="84"/>
      <c r="H208" s="85"/>
      <c r="I208" s="86"/>
      <c r="J208" s="88"/>
    </row>
    <row r="209" spans="2:10" s="89" customFormat="1">
      <c r="B209" s="82"/>
      <c r="C209" s="149"/>
      <c r="D209" s="84"/>
      <c r="E209" s="84"/>
      <c r="F209" s="84"/>
      <c r="G209" s="84"/>
      <c r="H209" s="85"/>
      <c r="I209" s="86"/>
      <c r="J209" s="88"/>
    </row>
    <row r="210" spans="2:10" s="89" customFormat="1">
      <c r="B210" s="82"/>
      <c r="C210" s="149"/>
      <c r="D210" s="84"/>
      <c r="E210" s="84"/>
      <c r="F210" s="84"/>
      <c r="G210" s="84"/>
      <c r="H210" s="85"/>
      <c r="I210" s="86"/>
      <c r="J210" s="88"/>
    </row>
    <row r="211" spans="2:10" s="89" customFormat="1">
      <c r="B211" s="82"/>
      <c r="C211" s="149"/>
      <c r="D211" s="84"/>
      <c r="E211" s="84"/>
      <c r="F211" s="84"/>
      <c r="G211" s="84"/>
      <c r="H211" s="85"/>
      <c r="I211" s="86"/>
      <c r="J211" s="88"/>
    </row>
    <row r="212" spans="2:10" s="89" customFormat="1">
      <c r="B212" s="82"/>
      <c r="C212" s="149"/>
      <c r="D212" s="84"/>
      <c r="E212" s="84"/>
      <c r="F212" s="84"/>
      <c r="G212" s="84"/>
      <c r="H212" s="85"/>
      <c r="I212" s="86"/>
      <c r="J212" s="88"/>
    </row>
    <row r="213" spans="2:10" s="89" customFormat="1">
      <c r="B213" s="82"/>
      <c r="C213" s="149"/>
      <c r="D213" s="84"/>
      <c r="E213" s="84"/>
      <c r="F213" s="84"/>
      <c r="G213" s="84"/>
      <c r="H213" s="85"/>
      <c r="I213" s="86"/>
      <c r="J213" s="88"/>
    </row>
    <row r="214" spans="2:10" s="89" customFormat="1">
      <c r="B214" s="82"/>
      <c r="C214" s="149"/>
      <c r="D214" s="84"/>
      <c r="E214" s="84"/>
      <c r="F214" s="84"/>
      <c r="G214" s="84"/>
      <c r="H214" s="85"/>
      <c r="I214" s="86"/>
      <c r="J214" s="88"/>
    </row>
    <row r="215" spans="2:10" s="89" customFormat="1">
      <c r="B215" s="82"/>
      <c r="C215" s="149"/>
      <c r="D215" s="84"/>
      <c r="E215" s="84"/>
      <c r="F215" s="84"/>
      <c r="G215" s="84"/>
      <c r="H215" s="85"/>
      <c r="I215" s="86"/>
      <c r="J215" s="88"/>
    </row>
    <row r="216" spans="2:10" s="89" customFormat="1">
      <c r="B216" s="82"/>
      <c r="C216" s="149"/>
      <c r="D216" s="84"/>
      <c r="E216" s="84"/>
      <c r="F216" s="84"/>
      <c r="G216" s="84"/>
      <c r="H216" s="85"/>
      <c r="I216" s="86"/>
      <c r="J216" s="88"/>
    </row>
    <row r="217" spans="2:10" s="89" customFormat="1">
      <c r="B217" s="82"/>
      <c r="C217" s="149"/>
      <c r="D217" s="84"/>
      <c r="E217" s="84"/>
      <c r="F217" s="84"/>
      <c r="G217" s="84"/>
      <c r="H217" s="85"/>
      <c r="I217" s="86"/>
      <c r="J217" s="88"/>
    </row>
    <row r="218" spans="2:10" s="89" customFormat="1">
      <c r="B218" s="82"/>
      <c r="C218" s="149"/>
      <c r="D218" s="84"/>
      <c r="E218" s="84"/>
      <c r="F218" s="84"/>
      <c r="G218" s="84"/>
      <c r="H218" s="85"/>
      <c r="I218" s="86"/>
      <c r="J218" s="88"/>
    </row>
    <row r="219" spans="2:10" s="89" customFormat="1">
      <c r="B219" s="82"/>
      <c r="C219" s="149"/>
      <c r="D219" s="84"/>
      <c r="E219" s="84"/>
      <c r="F219" s="84"/>
      <c r="G219" s="84"/>
      <c r="H219" s="85"/>
      <c r="I219" s="86"/>
      <c r="J219" s="88"/>
    </row>
    <row r="220" spans="2:10" s="89" customFormat="1">
      <c r="B220" s="82"/>
      <c r="C220" s="149"/>
      <c r="D220" s="84"/>
      <c r="E220" s="84"/>
      <c r="F220" s="84"/>
      <c r="G220" s="84"/>
      <c r="H220" s="85"/>
      <c r="I220" s="86"/>
      <c r="J220" s="88"/>
    </row>
    <row r="221" spans="2:10" s="89" customFormat="1">
      <c r="B221" s="82"/>
      <c r="C221" s="149"/>
      <c r="D221" s="84"/>
      <c r="E221" s="84"/>
      <c r="F221" s="84"/>
      <c r="G221" s="84"/>
      <c r="H221" s="85"/>
      <c r="I221" s="86"/>
      <c r="J221" s="88"/>
    </row>
    <row r="222" spans="2:10" s="89" customFormat="1">
      <c r="B222" s="82"/>
      <c r="C222" s="149"/>
      <c r="D222" s="84"/>
      <c r="E222" s="84"/>
      <c r="F222" s="84"/>
      <c r="G222" s="84"/>
      <c r="H222" s="85"/>
      <c r="I222" s="86"/>
      <c r="J222" s="88"/>
    </row>
    <row r="223" spans="2:10" s="89" customFormat="1">
      <c r="B223" s="82"/>
      <c r="C223" s="149"/>
      <c r="D223" s="84"/>
      <c r="E223" s="84"/>
      <c r="F223" s="84"/>
      <c r="G223" s="84"/>
      <c r="H223" s="85"/>
      <c r="I223" s="86"/>
      <c r="J223" s="88"/>
    </row>
    <row r="224" spans="2:10" s="89" customFormat="1">
      <c r="B224" s="82"/>
      <c r="C224" s="149"/>
      <c r="D224" s="84"/>
      <c r="E224" s="84"/>
      <c r="F224" s="84"/>
      <c r="G224" s="84"/>
      <c r="H224" s="85"/>
      <c r="I224" s="86"/>
      <c r="J224" s="88"/>
    </row>
    <row r="225" spans="2:10" s="89" customFormat="1">
      <c r="B225" s="82"/>
      <c r="C225" s="149"/>
      <c r="D225" s="84"/>
      <c r="E225" s="84"/>
      <c r="F225" s="84"/>
      <c r="G225" s="84"/>
      <c r="H225" s="85"/>
      <c r="I225" s="86"/>
      <c r="J225" s="88"/>
    </row>
    <row r="226" spans="2:10" s="89" customFormat="1">
      <c r="B226" s="82"/>
      <c r="C226" s="149"/>
      <c r="D226" s="84"/>
      <c r="E226" s="84"/>
      <c r="F226" s="84"/>
      <c r="G226" s="84"/>
      <c r="H226" s="85"/>
      <c r="I226" s="86"/>
      <c r="J226" s="88"/>
    </row>
    <row r="227" spans="2:10" s="89" customFormat="1">
      <c r="B227" s="82"/>
      <c r="C227" s="149"/>
      <c r="D227" s="84"/>
      <c r="E227" s="84"/>
      <c r="F227" s="84"/>
      <c r="G227" s="84"/>
      <c r="H227" s="85"/>
      <c r="I227" s="86"/>
      <c r="J227" s="88"/>
    </row>
    <row r="228" spans="2:10" s="89" customFormat="1">
      <c r="B228" s="82"/>
      <c r="C228" s="149"/>
      <c r="D228" s="84"/>
      <c r="E228" s="84"/>
      <c r="F228" s="84"/>
      <c r="G228" s="84"/>
      <c r="H228" s="85"/>
      <c r="I228" s="86"/>
      <c r="J228" s="88"/>
    </row>
    <row r="229" spans="2:10" s="89" customFormat="1">
      <c r="B229" s="82"/>
      <c r="C229" s="149"/>
      <c r="D229" s="84"/>
      <c r="E229" s="84"/>
      <c r="F229" s="84"/>
      <c r="G229" s="84"/>
      <c r="H229" s="85"/>
      <c r="I229" s="86"/>
      <c r="J229" s="88"/>
    </row>
    <row r="230" spans="2:10" s="89" customFormat="1">
      <c r="B230" s="82"/>
      <c r="C230" s="149"/>
      <c r="D230" s="84"/>
      <c r="E230" s="84"/>
      <c r="F230" s="84"/>
      <c r="G230" s="84"/>
      <c r="H230" s="85"/>
      <c r="I230" s="86"/>
      <c r="J230" s="88"/>
    </row>
    <row r="231" spans="2:10" s="89" customFormat="1">
      <c r="B231" s="82"/>
      <c r="C231" s="149"/>
      <c r="D231" s="84"/>
      <c r="E231" s="84"/>
      <c r="F231" s="84"/>
      <c r="G231" s="84"/>
      <c r="H231" s="85"/>
      <c r="I231" s="86"/>
      <c r="J231" s="88"/>
    </row>
    <row r="232" spans="2:10" s="89" customFormat="1">
      <c r="B232" s="82"/>
      <c r="C232" s="149"/>
      <c r="D232" s="84"/>
      <c r="E232" s="84"/>
      <c r="F232" s="84"/>
      <c r="G232" s="84"/>
      <c r="H232" s="85"/>
      <c r="I232" s="86"/>
      <c r="J232" s="88"/>
    </row>
    <row r="233" spans="2:10" s="89" customFormat="1">
      <c r="B233" s="82"/>
      <c r="C233" s="149"/>
      <c r="D233" s="84"/>
      <c r="E233" s="84"/>
      <c r="F233" s="84"/>
      <c r="G233" s="84"/>
      <c r="H233" s="85"/>
      <c r="I233" s="86"/>
      <c r="J233" s="88"/>
    </row>
    <row r="234" spans="2:10" s="89" customFormat="1">
      <c r="B234" s="82"/>
      <c r="C234" s="149"/>
      <c r="D234" s="84"/>
      <c r="E234" s="84"/>
      <c r="F234" s="84"/>
      <c r="G234" s="84"/>
      <c r="H234" s="85"/>
      <c r="I234" s="86"/>
      <c r="J234" s="88"/>
    </row>
    <row r="235" spans="2:10" s="89" customFormat="1">
      <c r="B235" s="82"/>
      <c r="C235" s="149"/>
      <c r="D235" s="84"/>
      <c r="E235" s="84"/>
      <c r="F235" s="84"/>
      <c r="G235" s="84"/>
      <c r="H235" s="85"/>
      <c r="I235" s="86"/>
      <c r="J235" s="88"/>
    </row>
    <row r="236" spans="2:10" s="89" customFormat="1">
      <c r="B236" s="82"/>
      <c r="C236" s="149"/>
      <c r="D236" s="84"/>
      <c r="E236" s="84"/>
      <c r="F236" s="84"/>
      <c r="G236" s="84"/>
      <c r="H236" s="85"/>
      <c r="I236" s="86"/>
      <c r="J236" s="88"/>
    </row>
    <row r="237" spans="2:10" s="89" customFormat="1">
      <c r="B237" s="82"/>
      <c r="C237" s="149"/>
      <c r="D237" s="84"/>
      <c r="E237" s="84"/>
      <c r="F237" s="84"/>
      <c r="G237" s="84"/>
      <c r="H237" s="85"/>
      <c r="I237" s="86"/>
      <c r="J237" s="88"/>
    </row>
    <row r="238" spans="2:10" s="89" customFormat="1">
      <c r="B238" s="82"/>
      <c r="C238" s="149"/>
      <c r="D238" s="84"/>
      <c r="E238" s="84"/>
      <c r="F238" s="84"/>
      <c r="G238" s="84"/>
      <c r="H238" s="85"/>
      <c r="I238" s="86"/>
      <c r="J238" s="88"/>
    </row>
    <row r="239" spans="2:10" s="89" customFormat="1">
      <c r="B239" s="82"/>
      <c r="C239" s="149"/>
      <c r="D239" s="84"/>
      <c r="E239" s="84"/>
      <c r="F239" s="84"/>
      <c r="G239" s="84"/>
      <c r="H239" s="85"/>
      <c r="I239" s="86"/>
      <c r="J239" s="88"/>
    </row>
    <row r="240" spans="2:10" s="89" customFormat="1">
      <c r="B240" s="82"/>
      <c r="C240" s="149"/>
      <c r="D240" s="84"/>
      <c r="E240" s="84"/>
      <c r="F240" s="84"/>
      <c r="G240" s="84"/>
      <c r="H240" s="85"/>
      <c r="I240" s="86"/>
      <c r="J240" s="88"/>
    </row>
    <row r="241" spans="2:10" s="89" customFormat="1">
      <c r="B241" s="82"/>
      <c r="C241" s="149"/>
      <c r="D241" s="84"/>
      <c r="E241" s="84"/>
      <c r="F241" s="84"/>
      <c r="G241" s="84"/>
      <c r="H241" s="85"/>
      <c r="I241" s="86"/>
      <c r="J241" s="88"/>
    </row>
    <row r="242" spans="2:10" s="89" customFormat="1">
      <c r="B242" s="82"/>
      <c r="C242" s="149"/>
      <c r="D242" s="84"/>
      <c r="E242" s="84"/>
      <c r="F242" s="84"/>
      <c r="G242" s="84"/>
      <c r="H242" s="85"/>
      <c r="I242" s="86"/>
      <c r="J242" s="88"/>
    </row>
    <row r="243" spans="2:10" s="89" customFormat="1">
      <c r="B243" s="82"/>
      <c r="C243" s="149"/>
      <c r="D243" s="84"/>
      <c r="E243" s="84"/>
      <c r="F243" s="84"/>
      <c r="G243" s="84"/>
      <c r="H243" s="85"/>
      <c r="I243" s="86"/>
      <c r="J243" s="88"/>
    </row>
    <row r="244" spans="2:10" s="89" customFormat="1">
      <c r="B244" s="82"/>
      <c r="C244" s="149"/>
      <c r="D244" s="84"/>
      <c r="E244" s="84"/>
      <c r="F244" s="84"/>
      <c r="G244" s="84"/>
      <c r="H244" s="85"/>
      <c r="I244" s="86"/>
      <c r="J244" s="88"/>
    </row>
    <row r="245" spans="2:10" s="89" customFormat="1">
      <c r="B245" s="82"/>
      <c r="C245" s="149"/>
      <c r="D245" s="84"/>
      <c r="E245" s="84"/>
      <c r="F245" s="84"/>
      <c r="G245" s="84"/>
      <c r="H245" s="85"/>
      <c r="I245" s="86"/>
      <c r="J245" s="88"/>
    </row>
    <row r="246" spans="2:10" s="89" customFormat="1">
      <c r="B246" s="82"/>
      <c r="C246" s="149"/>
      <c r="D246" s="84"/>
      <c r="E246" s="84"/>
      <c r="F246" s="84"/>
      <c r="G246" s="84"/>
      <c r="H246" s="85"/>
      <c r="I246" s="86"/>
      <c r="J246" s="88"/>
    </row>
    <row r="247" spans="2:10" s="89" customFormat="1">
      <c r="B247" s="82"/>
      <c r="C247" s="149"/>
      <c r="D247" s="84"/>
      <c r="E247" s="84"/>
      <c r="F247" s="84"/>
      <c r="G247" s="84"/>
      <c r="H247" s="85"/>
      <c r="I247" s="86"/>
      <c r="J247" s="88"/>
    </row>
    <row r="248" spans="2:10" s="89" customFormat="1">
      <c r="B248" s="82"/>
      <c r="C248" s="149"/>
      <c r="D248" s="84"/>
      <c r="E248" s="84"/>
      <c r="F248" s="84"/>
      <c r="G248" s="84"/>
      <c r="H248" s="85"/>
      <c r="I248" s="86"/>
      <c r="J248" s="88"/>
    </row>
    <row r="249" spans="2:10" s="89" customFormat="1">
      <c r="B249" s="82"/>
      <c r="C249" s="149"/>
      <c r="D249" s="84"/>
      <c r="E249" s="84"/>
      <c r="F249" s="84"/>
      <c r="G249" s="84"/>
      <c r="H249" s="85"/>
      <c r="I249" s="86"/>
      <c r="J249" s="88"/>
    </row>
    <row r="250" spans="2:10" s="89" customFormat="1">
      <c r="B250" s="82"/>
      <c r="C250" s="149"/>
      <c r="D250" s="84"/>
      <c r="E250" s="84"/>
      <c r="F250" s="84"/>
      <c r="G250" s="84"/>
      <c r="H250" s="85"/>
      <c r="I250" s="86"/>
      <c r="J250" s="88"/>
    </row>
    <row r="251" spans="2:10" s="89" customFormat="1">
      <c r="B251" s="82"/>
      <c r="C251" s="149"/>
      <c r="D251" s="84"/>
      <c r="E251" s="84"/>
      <c r="F251" s="84"/>
      <c r="G251" s="84"/>
      <c r="H251" s="85"/>
      <c r="I251" s="86"/>
      <c r="J251" s="88"/>
    </row>
    <row r="252" spans="2:10" s="89" customFormat="1">
      <c r="B252" s="82"/>
      <c r="C252" s="149"/>
      <c r="D252" s="84"/>
      <c r="E252" s="84"/>
      <c r="F252" s="84"/>
      <c r="G252" s="84"/>
      <c r="H252" s="85"/>
      <c r="I252" s="86"/>
      <c r="J252" s="88"/>
    </row>
    <row r="253" spans="2:10" s="89" customFormat="1">
      <c r="B253" s="82"/>
      <c r="C253" s="149"/>
      <c r="D253" s="84"/>
      <c r="E253" s="84"/>
      <c r="F253" s="84"/>
      <c r="G253" s="84"/>
      <c r="H253" s="85"/>
      <c r="I253" s="86"/>
      <c r="J253" s="88"/>
    </row>
    <row r="254" spans="2:10" s="89" customFormat="1">
      <c r="B254" s="82"/>
      <c r="C254" s="149"/>
      <c r="D254" s="84"/>
      <c r="E254" s="84"/>
      <c r="F254" s="84"/>
      <c r="G254" s="84"/>
      <c r="H254" s="85"/>
      <c r="I254" s="86"/>
      <c r="J254" s="88"/>
    </row>
    <row r="255" spans="2:10" s="89" customFormat="1">
      <c r="B255" s="82"/>
      <c r="C255" s="149"/>
      <c r="D255" s="84"/>
      <c r="E255" s="84"/>
      <c r="F255" s="84"/>
      <c r="G255" s="84"/>
      <c r="H255" s="85"/>
      <c r="I255" s="86"/>
      <c r="J255" s="88"/>
    </row>
    <row r="256" spans="2:10" s="89" customFormat="1">
      <c r="B256" s="82"/>
      <c r="C256" s="149"/>
      <c r="D256" s="84"/>
      <c r="E256" s="84"/>
      <c r="F256" s="84"/>
      <c r="G256" s="84"/>
      <c r="H256" s="85"/>
      <c r="I256" s="86"/>
      <c r="J256" s="88"/>
    </row>
    <row r="257" spans="2:10" s="89" customFormat="1">
      <c r="B257" s="82"/>
      <c r="C257" s="149"/>
      <c r="D257" s="84"/>
      <c r="E257" s="84"/>
      <c r="F257" s="84"/>
      <c r="G257" s="84"/>
      <c r="H257" s="85"/>
      <c r="I257" s="86"/>
      <c r="J257" s="88"/>
    </row>
    <row r="258" spans="2:10" s="89" customFormat="1">
      <c r="B258" s="82"/>
      <c r="C258" s="149"/>
      <c r="D258" s="84"/>
      <c r="E258" s="84"/>
      <c r="F258" s="84"/>
      <c r="G258" s="84"/>
      <c r="H258" s="85"/>
      <c r="I258" s="86"/>
      <c r="J258" s="88"/>
    </row>
    <row r="259" spans="2:10" s="89" customFormat="1">
      <c r="B259" s="82"/>
      <c r="C259" s="149"/>
      <c r="D259" s="84"/>
      <c r="E259" s="84"/>
      <c r="F259" s="84"/>
      <c r="G259" s="84"/>
      <c r="H259" s="85"/>
      <c r="I259" s="86"/>
      <c r="J259" s="88"/>
    </row>
    <row r="260" spans="2:10" s="89" customFormat="1">
      <c r="B260" s="82"/>
      <c r="C260" s="149"/>
      <c r="D260" s="84"/>
      <c r="E260" s="84"/>
      <c r="F260" s="84"/>
      <c r="G260" s="84"/>
      <c r="H260" s="85"/>
      <c r="I260" s="86"/>
      <c r="J260" s="88"/>
    </row>
    <row r="261" spans="2:10" s="89" customFormat="1">
      <c r="B261" s="82"/>
      <c r="C261" s="149"/>
      <c r="D261" s="84"/>
      <c r="E261" s="84"/>
      <c r="F261" s="84"/>
      <c r="G261" s="84"/>
      <c r="H261" s="85"/>
      <c r="I261" s="86"/>
      <c r="J261" s="88"/>
    </row>
    <row r="262" spans="2:10" s="89" customFormat="1">
      <c r="B262" s="82"/>
      <c r="C262" s="149"/>
      <c r="D262" s="84"/>
      <c r="E262" s="84"/>
      <c r="F262" s="84"/>
      <c r="G262" s="84"/>
      <c r="H262" s="85"/>
      <c r="I262" s="86"/>
      <c r="J262" s="88"/>
    </row>
    <row r="263" spans="2:10" s="89" customFormat="1">
      <c r="B263" s="82"/>
      <c r="C263" s="149"/>
      <c r="D263" s="84"/>
      <c r="E263" s="84"/>
      <c r="F263" s="84"/>
      <c r="G263" s="84"/>
      <c r="H263" s="85"/>
      <c r="I263" s="86"/>
      <c r="J263" s="88"/>
    </row>
    <row r="264" spans="2:10" s="89" customFormat="1">
      <c r="B264" s="82"/>
      <c r="C264" s="149"/>
      <c r="D264" s="84"/>
      <c r="E264" s="84"/>
      <c r="F264" s="84"/>
      <c r="G264" s="84"/>
      <c r="H264" s="85"/>
      <c r="I264" s="86"/>
      <c r="J264" s="88"/>
    </row>
    <row r="265" spans="2:10" s="89" customFormat="1">
      <c r="B265" s="82"/>
      <c r="C265" s="149"/>
      <c r="D265" s="84"/>
      <c r="E265" s="84"/>
      <c r="F265" s="84"/>
      <c r="G265" s="84"/>
      <c r="H265" s="85"/>
      <c r="I265" s="86"/>
      <c r="J265" s="88"/>
    </row>
    <row r="266" spans="2:10" s="89" customFormat="1">
      <c r="B266" s="82"/>
      <c r="C266" s="149"/>
      <c r="D266" s="84"/>
      <c r="E266" s="84"/>
      <c r="F266" s="84"/>
      <c r="G266" s="84"/>
      <c r="H266" s="85"/>
      <c r="I266" s="86"/>
      <c r="J266" s="88"/>
    </row>
    <row r="267" spans="2:10" s="89" customFormat="1">
      <c r="B267" s="82"/>
      <c r="C267" s="149"/>
      <c r="D267" s="84"/>
      <c r="E267" s="84"/>
      <c r="F267" s="84"/>
      <c r="G267" s="84"/>
      <c r="H267" s="85"/>
      <c r="I267" s="86"/>
      <c r="J267" s="88"/>
    </row>
    <row r="268" spans="2:10" s="89" customFormat="1">
      <c r="B268" s="82"/>
      <c r="C268" s="149"/>
      <c r="D268" s="84"/>
      <c r="E268" s="84"/>
      <c r="F268" s="84"/>
      <c r="G268" s="84"/>
      <c r="H268" s="85"/>
      <c r="I268" s="86"/>
      <c r="J268" s="88"/>
    </row>
    <row r="269" spans="2:10" s="89" customFormat="1">
      <c r="B269" s="82"/>
      <c r="C269" s="149"/>
      <c r="D269" s="84"/>
      <c r="E269" s="84"/>
      <c r="F269" s="84"/>
      <c r="G269" s="84"/>
      <c r="H269" s="85"/>
      <c r="I269" s="86"/>
      <c r="J269" s="88"/>
    </row>
    <row r="270" spans="2:10" s="89" customFormat="1">
      <c r="B270" s="82"/>
      <c r="C270" s="149"/>
      <c r="D270" s="84"/>
      <c r="E270" s="84"/>
      <c r="F270" s="84"/>
      <c r="G270" s="84"/>
      <c r="H270" s="85"/>
      <c r="I270" s="86"/>
      <c r="J270" s="88"/>
    </row>
    <row r="271" spans="2:10" s="89" customFormat="1">
      <c r="B271" s="82"/>
      <c r="C271" s="149"/>
      <c r="D271" s="84"/>
      <c r="E271" s="84"/>
      <c r="F271" s="84"/>
      <c r="G271" s="84"/>
      <c r="H271" s="85"/>
      <c r="I271" s="86"/>
      <c r="J271" s="88"/>
    </row>
    <row r="272" spans="2:10" s="89" customFormat="1">
      <c r="B272" s="82"/>
      <c r="C272" s="149"/>
      <c r="D272" s="84"/>
      <c r="E272" s="84"/>
      <c r="F272" s="84"/>
      <c r="G272" s="84"/>
      <c r="H272" s="85"/>
      <c r="I272" s="86"/>
      <c r="J272" s="88"/>
    </row>
    <row r="273" spans="2:10" s="89" customFormat="1">
      <c r="B273" s="82"/>
      <c r="C273" s="149"/>
      <c r="D273" s="84"/>
      <c r="E273" s="84"/>
      <c r="F273" s="84"/>
      <c r="G273" s="84"/>
      <c r="H273" s="85"/>
      <c r="I273" s="86"/>
      <c r="J273" s="88"/>
    </row>
    <row r="274" spans="2:10" s="89" customFormat="1">
      <c r="B274" s="82"/>
      <c r="C274" s="149"/>
      <c r="D274" s="84"/>
      <c r="E274" s="84"/>
      <c r="F274" s="84"/>
      <c r="G274" s="84"/>
      <c r="H274" s="85"/>
      <c r="I274" s="86"/>
      <c r="J274" s="88"/>
    </row>
    <row r="275" spans="2:10" s="89" customFormat="1">
      <c r="B275" s="82"/>
      <c r="C275" s="149"/>
      <c r="D275" s="84"/>
      <c r="E275" s="84"/>
      <c r="F275" s="84"/>
      <c r="G275" s="84"/>
      <c r="H275" s="85"/>
      <c r="I275" s="86"/>
      <c r="J275" s="88"/>
    </row>
    <row r="276" spans="2:10" s="89" customFormat="1">
      <c r="B276" s="82"/>
      <c r="C276" s="149"/>
      <c r="D276" s="84"/>
      <c r="E276" s="84"/>
      <c r="F276" s="84"/>
      <c r="G276" s="84"/>
      <c r="H276" s="85"/>
      <c r="I276" s="86"/>
      <c r="J276" s="88"/>
    </row>
    <row r="277" spans="2:10" s="89" customFormat="1">
      <c r="B277" s="82"/>
      <c r="C277" s="149"/>
      <c r="D277" s="84"/>
      <c r="E277" s="84"/>
      <c r="F277" s="84"/>
      <c r="G277" s="84"/>
      <c r="H277" s="85"/>
      <c r="I277" s="86"/>
      <c r="J277" s="88"/>
    </row>
    <row r="278" spans="2:10" s="89" customFormat="1">
      <c r="B278" s="82"/>
      <c r="C278" s="149"/>
      <c r="D278" s="84"/>
      <c r="E278" s="84"/>
      <c r="F278" s="84"/>
      <c r="G278" s="84"/>
      <c r="H278" s="85"/>
      <c r="I278" s="86"/>
      <c r="J278" s="88"/>
    </row>
    <row r="279" spans="2:10" s="89" customFormat="1">
      <c r="B279" s="82"/>
      <c r="C279" s="149"/>
      <c r="D279" s="84"/>
      <c r="E279" s="84"/>
      <c r="F279" s="84"/>
      <c r="G279" s="84"/>
      <c r="H279" s="85"/>
      <c r="I279" s="86"/>
      <c r="J279" s="88"/>
    </row>
    <row r="280" spans="2:10" s="89" customFormat="1">
      <c r="B280" s="82"/>
      <c r="C280" s="149"/>
      <c r="D280" s="84"/>
      <c r="E280" s="84"/>
      <c r="F280" s="84"/>
      <c r="G280" s="84"/>
      <c r="H280" s="85"/>
      <c r="I280" s="86"/>
      <c r="J280" s="88"/>
    </row>
    <row r="281" spans="2:10" s="89" customFormat="1">
      <c r="B281" s="82"/>
      <c r="C281" s="149"/>
      <c r="D281" s="84"/>
      <c r="E281" s="84"/>
      <c r="F281" s="84"/>
      <c r="G281" s="84"/>
      <c r="H281" s="85"/>
      <c r="I281" s="86"/>
      <c r="J281" s="88"/>
    </row>
    <row r="282" spans="2:10" s="89" customFormat="1">
      <c r="B282" s="82"/>
      <c r="C282" s="149"/>
      <c r="D282" s="84"/>
      <c r="E282" s="84"/>
      <c r="F282" s="84"/>
      <c r="G282" s="84"/>
      <c r="H282" s="85"/>
      <c r="I282" s="86"/>
      <c r="J282" s="88"/>
    </row>
    <row r="283" spans="2:10" s="89" customFormat="1">
      <c r="B283" s="82"/>
      <c r="C283" s="149"/>
      <c r="D283" s="84"/>
      <c r="E283" s="84"/>
      <c r="F283" s="84"/>
      <c r="G283" s="84"/>
      <c r="H283" s="85"/>
      <c r="I283" s="86"/>
      <c r="J283" s="88"/>
    </row>
    <row r="284" spans="2:10" s="89" customFormat="1">
      <c r="B284" s="82"/>
      <c r="C284" s="149"/>
      <c r="D284" s="84"/>
      <c r="E284" s="84"/>
      <c r="F284" s="84"/>
      <c r="G284" s="84"/>
      <c r="H284" s="85"/>
      <c r="I284" s="86"/>
      <c r="J284" s="88"/>
    </row>
    <row r="285" spans="2:10" s="89" customFormat="1">
      <c r="B285" s="82"/>
      <c r="C285" s="149"/>
      <c r="D285" s="84"/>
      <c r="E285" s="84"/>
      <c r="F285" s="84"/>
      <c r="G285" s="84"/>
      <c r="H285" s="85"/>
      <c r="I285" s="86"/>
      <c r="J285" s="88"/>
    </row>
    <row r="286" spans="2:10" s="89" customFormat="1">
      <c r="B286" s="82"/>
      <c r="C286" s="149"/>
      <c r="D286" s="84"/>
      <c r="E286" s="84"/>
      <c r="F286" s="84"/>
      <c r="G286" s="84"/>
      <c r="H286" s="85"/>
      <c r="I286" s="86"/>
      <c r="J286" s="88"/>
    </row>
    <row r="287" spans="2:10" s="89" customFormat="1">
      <c r="B287" s="82"/>
      <c r="C287" s="149"/>
      <c r="D287" s="84"/>
      <c r="E287" s="84"/>
      <c r="F287" s="84"/>
      <c r="G287" s="84"/>
      <c r="H287" s="85"/>
      <c r="I287" s="86"/>
      <c r="J287" s="88"/>
    </row>
    <row r="288" spans="2:10" s="89" customFormat="1">
      <c r="B288" s="82"/>
      <c r="C288" s="149"/>
      <c r="D288" s="84"/>
      <c r="E288" s="84"/>
      <c r="F288" s="84"/>
      <c r="G288" s="84"/>
      <c r="H288" s="85"/>
      <c r="I288" s="86"/>
      <c r="J288" s="88"/>
    </row>
    <row r="289" spans="2:10" s="89" customFormat="1">
      <c r="B289" s="82"/>
      <c r="C289" s="149"/>
      <c r="D289" s="84"/>
      <c r="E289" s="84"/>
      <c r="F289" s="84"/>
      <c r="G289" s="84"/>
      <c r="H289" s="85"/>
      <c r="I289" s="86"/>
      <c r="J289" s="88"/>
    </row>
    <row r="290" spans="2:10" s="89" customFormat="1">
      <c r="B290" s="82"/>
      <c r="C290" s="149"/>
      <c r="D290" s="84"/>
      <c r="E290" s="84"/>
      <c r="F290" s="84"/>
      <c r="G290" s="84"/>
      <c r="H290" s="85"/>
      <c r="I290" s="86"/>
      <c r="J290" s="88"/>
    </row>
    <row r="291" spans="2:10" s="89" customFormat="1">
      <c r="B291" s="82"/>
      <c r="C291" s="149"/>
      <c r="D291" s="84"/>
      <c r="E291" s="84"/>
      <c r="F291" s="84"/>
      <c r="G291" s="84"/>
      <c r="H291" s="85"/>
      <c r="I291" s="86"/>
      <c r="J291" s="88"/>
    </row>
    <row r="292" spans="2:10" s="89" customFormat="1">
      <c r="B292" s="82"/>
      <c r="C292" s="149"/>
      <c r="D292" s="84"/>
      <c r="E292" s="84"/>
      <c r="F292" s="84"/>
      <c r="G292" s="84"/>
      <c r="H292" s="85"/>
      <c r="I292" s="86"/>
      <c r="J292" s="88"/>
    </row>
    <row r="293" spans="2:10" s="89" customFormat="1">
      <c r="B293" s="82"/>
      <c r="C293" s="149"/>
      <c r="D293" s="84"/>
      <c r="E293" s="84"/>
      <c r="F293" s="84"/>
      <c r="G293" s="84"/>
      <c r="H293" s="85"/>
      <c r="I293" s="86"/>
      <c r="J293" s="88"/>
    </row>
    <row r="294" spans="2:10" s="89" customFormat="1">
      <c r="B294" s="82"/>
      <c r="C294" s="149"/>
      <c r="D294" s="84"/>
      <c r="E294" s="84"/>
      <c r="F294" s="84"/>
      <c r="G294" s="84"/>
      <c r="H294" s="85"/>
      <c r="I294" s="86"/>
      <c r="J294" s="88"/>
    </row>
    <row r="295" spans="2:10" s="89" customFormat="1">
      <c r="B295" s="82"/>
      <c r="C295" s="149"/>
      <c r="D295" s="84"/>
      <c r="E295" s="84"/>
      <c r="F295" s="84"/>
      <c r="G295" s="84"/>
      <c r="H295" s="85"/>
      <c r="I295" s="86"/>
      <c r="J295" s="88"/>
    </row>
    <row r="296" spans="2:10" s="89" customFormat="1">
      <c r="B296" s="82"/>
      <c r="C296" s="149"/>
      <c r="D296" s="84"/>
      <c r="E296" s="84"/>
      <c r="F296" s="84"/>
      <c r="G296" s="84"/>
      <c r="H296" s="85"/>
      <c r="I296" s="86"/>
      <c r="J296" s="88"/>
    </row>
    <row r="297" spans="2:10" s="89" customFormat="1">
      <c r="B297" s="82"/>
      <c r="C297" s="149"/>
      <c r="D297" s="84"/>
      <c r="E297" s="84"/>
      <c r="F297" s="84"/>
      <c r="G297" s="84"/>
      <c r="H297" s="85"/>
      <c r="I297" s="86"/>
      <c r="J297" s="88"/>
    </row>
    <row r="298" spans="2:10" s="89" customFormat="1">
      <c r="B298" s="82"/>
      <c r="C298" s="149"/>
      <c r="D298" s="84"/>
      <c r="E298" s="84"/>
      <c r="F298" s="84"/>
      <c r="G298" s="84"/>
      <c r="H298" s="85"/>
      <c r="I298" s="86"/>
      <c r="J298" s="88"/>
    </row>
    <row r="299" spans="2:10" s="89" customFormat="1">
      <c r="B299" s="82"/>
      <c r="C299" s="149"/>
      <c r="D299" s="84"/>
      <c r="E299" s="84"/>
      <c r="F299" s="84"/>
      <c r="G299" s="84"/>
      <c r="H299" s="85"/>
      <c r="I299" s="86"/>
      <c r="J299" s="88"/>
    </row>
    <row r="300" spans="2:10" s="89" customFormat="1">
      <c r="B300" s="82"/>
      <c r="C300" s="149"/>
      <c r="D300" s="84"/>
      <c r="E300" s="84"/>
      <c r="F300" s="84"/>
      <c r="G300" s="84"/>
      <c r="H300" s="85"/>
      <c r="I300" s="86"/>
      <c r="J300" s="88"/>
    </row>
    <row r="301" spans="2:10" s="89" customFormat="1">
      <c r="B301" s="82"/>
      <c r="C301" s="149"/>
      <c r="D301" s="84"/>
      <c r="E301" s="84"/>
      <c r="F301" s="84"/>
      <c r="G301" s="84"/>
      <c r="H301" s="85"/>
      <c r="I301" s="86"/>
      <c r="J301" s="88"/>
    </row>
    <row r="302" spans="2:10" s="89" customFormat="1">
      <c r="B302" s="82"/>
      <c r="C302" s="149"/>
      <c r="D302" s="84"/>
      <c r="E302" s="84"/>
      <c r="F302" s="84"/>
      <c r="G302" s="84"/>
      <c r="H302" s="85"/>
      <c r="I302" s="86"/>
      <c r="J302" s="88"/>
    </row>
    <row r="303" spans="2:10" s="89" customFormat="1">
      <c r="B303" s="82"/>
      <c r="C303" s="149"/>
      <c r="D303" s="84"/>
      <c r="E303" s="84"/>
      <c r="F303" s="84"/>
      <c r="G303" s="84"/>
      <c r="H303" s="85"/>
      <c r="I303" s="86"/>
      <c r="J303" s="88"/>
    </row>
    <row r="304" spans="2:10" s="89" customFormat="1">
      <c r="B304" s="82"/>
      <c r="C304" s="149"/>
      <c r="D304" s="84"/>
      <c r="E304" s="84"/>
      <c r="F304" s="84"/>
      <c r="G304" s="84"/>
      <c r="H304" s="85"/>
      <c r="I304" s="86"/>
      <c r="J304" s="88"/>
    </row>
    <row r="305" spans="2:10" s="89" customFormat="1">
      <c r="B305" s="82"/>
      <c r="C305" s="149"/>
      <c r="D305" s="84"/>
      <c r="E305" s="84"/>
      <c r="F305" s="84"/>
      <c r="G305" s="84"/>
      <c r="H305" s="85"/>
      <c r="I305" s="86"/>
      <c r="J305" s="88"/>
    </row>
    <row r="306" spans="2:10" s="89" customFormat="1">
      <c r="B306" s="82"/>
      <c r="C306" s="149"/>
      <c r="D306" s="84"/>
      <c r="E306" s="84"/>
      <c r="F306" s="84"/>
      <c r="G306" s="84"/>
      <c r="H306" s="85"/>
      <c r="I306" s="86"/>
      <c r="J306" s="88"/>
    </row>
    <row r="307" spans="2:10" s="89" customFormat="1">
      <c r="B307" s="82"/>
      <c r="C307" s="149"/>
      <c r="D307" s="84"/>
      <c r="E307" s="84"/>
      <c r="F307" s="84"/>
      <c r="G307" s="84"/>
      <c r="H307" s="85"/>
      <c r="I307" s="86"/>
      <c r="J307" s="88"/>
    </row>
    <row r="308" spans="2:10" s="89" customFormat="1">
      <c r="B308" s="82"/>
      <c r="C308" s="149"/>
      <c r="D308" s="84"/>
      <c r="E308" s="84"/>
      <c r="F308" s="84"/>
      <c r="G308" s="84"/>
      <c r="H308" s="85"/>
      <c r="I308" s="86"/>
      <c r="J308" s="88"/>
    </row>
    <row r="309" spans="2:10" s="89" customFormat="1">
      <c r="B309" s="82"/>
      <c r="C309" s="149"/>
      <c r="D309" s="84"/>
      <c r="E309" s="84"/>
      <c r="F309" s="84"/>
      <c r="G309" s="84"/>
      <c r="H309" s="85"/>
      <c r="I309" s="86"/>
      <c r="J309" s="88"/>
    </row>
    <row r="310" spans="2:10" s="89" customFormat="1">
      <c r="B310" s="82"/>
      <c r="C310" s="149"/>
      <c r="D310" s="84"/>
      <c r="E310" s="84"/>
      <c r="F310" s="84"/>
      <c r="G310" s="84"/>
      <c r="H310" s="85"/>
      <c r="I310" s="86"/>
      <c r="J310" s="88"/>
    </row>
    <row r="311" spans="2:10" s="89" customFormat="1">
      <c r="B311" s="82"/>
      <c r="C311" s="149"/>
      <c r="D311" s="84"/>
      <c r="E311" s="84"/>
      <c r="F311" s="84"/>
      <c r="G311" s="84"/>
      <c r="H311" s="85"/>
      <c r="I311" s="86"/>
      <c r="J311" s="88"/>
    </row>
    <row r="312" spans="2:10" s="89" customFormat="1">
      <c r="B312" s="82"/>
      <c r="C312" s="149"/>
      <c r="D312" s="84"/>
      <c r="E312" s="84"/>
      <c r="F312" s="84"/>
      <c r="G312" s="84"/>
      <c r="H312" s="85"/>
      <c r="I312" s="86"/>
      <c r="J312" s="88"/>
    </row>
    <row r="313" spans="2:10" s="89" customFormat="1">
      <c r="B313" s="82"/>
      <c r="C313" s="149"/>
      <c r="D313" s="84"/>
      <c r="E313" s="84"/>
      <c r="F313" s="84"/>
      <c r="G313" s="84"/>
      <c r="H313" s="85"/>
      <c r="I313" s="86"/>
      <c r="J313" s="88"/>
    </row>
    <row r="314" spans="2:10" s="89" customFormat="1">
      <c r="B314" s="82"/>
      <c r="C314" s="149"/>
      <c r="D314" s="84"/>
      <c r="E314" s="84"/>
      <c r="F314" s="84"/>
      <c r="G314" s="84"/>
      <c r="H314" s="85"/>
      <c r="I314" s="86"/>
      <c r="J314" s="88"/>
    </row>
    <row r="315" spans="2:10" s="89" customFormat="1">
      <c r="B315" s="82"/>
      <c r="C315" s="149"/>
      <c r="D315" s="84"/>
      <c r="E315" s="84"/>
      <c r="F315" s="84"/>
      <c r="G315" s="84"/>
      <c r="H315" s="85"/>
      <c r="I315" s="86"/>
      <c r="J315" s="88"/>
    </row>
    <row r="316" spans="2:10" s="89" customFormat="1">
      <c r="B316" s="82"/>
      <c r="C316" s="149"/>
      <c r="D316" s="84"/>
      <c r="E316" s="84"/>
      <c r="F316" s="84"/>
      <c r="G316" s="84"/>
      <c r="H316" s="85"/>
      <c r="I316" s="86"/>
      <c r="J316" s="88"/>
    </row>
    <row r="317" spans="2:10" s="89" customFormat="1">
      <c r="B317" s="82"/>
      <c r="C317" s="149"/>
      <c r="D317" s="84"/>
      <c r="E317" s="84"/>
      <c r="F317" s="84"/>
      <c r="G317" s="84"/>
      <c r="H317" s="85"/>
      <c r="I317" s="86"/>
      <c r="J317" s="88"/>
    </row>
    <row r="318" spans="2:10" s="89" customFormat="1">
      <c r="B318" s="82"/>
      <c r="C318" s="149"/>
      <c r="D318" s="84"/>
      <c r="E318" s="84"/>
      <c r="F318" s="84"/>
      <c r="G318" s="84"/>
      <c r="H318" s="85"/>
      <c r="I318" s="86"/>
      <c r="J318" s="88"/>
    </row>
    <row r="319" spans="2:10" s="89" customFormat="1">
      <c r="B319" s="82"/>
      <c r="C319" s="149"/>
      <c r="D319" s="84"/>
      <c r="E319" s="84"/>
      <c r="F319" s="84"/>
      <c r="G319" s="84"/>
      <c r="H319" s="85"/>
      <c r="I319" s="86"/>
      <c r="J319" s="88"/>
    </row>
    <row r="320" spans="2:10" s="89" customFormat="1">
      <c r="B320" s="82"/>
      <c r="C320" s="149"/>
      <c r="D320" s="84"/>
      <c r="E320" s="84"/>
      <c r="F320" s="84"/>
      <c r="G320" s="84"/>
      <c r="H320" s="85"/>
      <c r="I320" s="86"/>
      <c r="J320" s="88"/>
    </row>
    <row r="321" spans="2:10" s="89" customFormat="1">
      <c r="B321" s="82"/>
      <c r="C321" s="149"/>
      <c r="D321" s="84"/>
      <c r="E321" s="84"/>
      <c r="F321" s="84"/>
      <c r="G321" s="84"/>
      <c r="H321" s="85"/>
      <c r="I321" s="86"/>
      <c r="J321" s="88"/>
    </row>
    <row r="322" spans="2:10" s="89" customFormat="1">
      <c r="B322" s="82"/>
      <c r="C322" s="149"/>
      <c r="D322" s="84"/>
      <c r="E322" s="84"/>
      <c r="F322" s="84"/>
      <c r="G322" s="84"/>
      <c r="H322" s="85"/>
      <c r="I322" s="86"/>
      <c r="J322" s="88"/>
    </row>
    <row r="323" spans="2:10" s="89" customFormat="1">
      <c r="B323" s="82"/>
      <c r="C323" s="149"/>
      <c r="D323" s="84"/>
      <c r="E323" s="84"/>
      <c r="F323" s="84"/>
      <c r="G323" s="84"/>
      <c r="H323" s="85"/>
      <c r="I323" s="86"/>
      <c r="J323" s="88"/>
    </row>
    <row r="324" spans="2:10" s="89" customFormat="1">
      <c r="B324" s="82"/>
      <c r="C324" s="149"/>
      <c r="D324" s="84"/>
      <c r="E324" s="84"/>
      <c r="F324" s="84"/>
      <c r="G324" s="84"/>
      <c r="H324" s="85"/>
      <c r="I324" s="86"/>
      <c r="J324" s="88"/>
    </row>
    <row r="325" spans="2:10" s="89" customFormat="1">
      <c r="B325" s="82"/>
      <c r="C325" s="149"/>
      <c r="D325" s="84"/>
      <c r="E325" s="84"/>
      <c r="F325" s="84"/>
      <c r="G325" s="84"/>
      <c r="H325" s="85"/>
      <c r="I325" s="86"/>
      <c r="J325" s="88"/>
    </row>
    <row r="326" spans="2:10" s="89" customFormat="1">
      <c r="B326" s="82"/>
      <c r="C326" s="149"/>
      <c r="D326" s="84"/>
      <c r="E326" s="84"/>
      <c r="F326" s="84"/>
      <c r="G326" s="84"/>
      <c r="H326" s="85"/>
      <c r="I326" s="86"/>
      <c r="J326" s="88"/>
    </row>
    <row r="327" spans="2:10" s="89" customFormat="1">
      <c r="B327" s="82"/>
      <c r="C327" s="149"/>
      <c r="D327" s="84"/>
      <c r="E327" s="84"/>
      <c r="F327" s="84"/>
      <c r="G327" s="84"/>
      <c r="H327" s="85"/>
      <c r="I327" s="86"/>
      <c r="J327" s="88"/>
    </row>
    <row r="328" spans="2:10" s="89" customFormat="1">
      <c r="B328" s="82"/>
      <c r="C328" s="149"/>
      <c r="D328" s="84"/>
      <c r="E328" s="84"/>
      <c r="F328" s="84"/>
      <c r="G328" s="84"/>
      <c r="H328" s="85"/>
      <c r="I328" s="86"/>
      <c r="J328" s="88"/>
    </row>
    <row r="329" spans="2:10" s="89" customFormat="1">
      <c r="B329" s="82"/>
      <c r="C329" s="149"/>
      <c r="D329" s="84"/>
      <c r="E329" s="84"/>
      <c r="F329" s="84"/>
      <c r="G329" s="84"/>
      <c r="H329" s="85"/>
      <c r="I329" s="86"/>
      <c r="J329" s="88"/>
    </row>
    <row r="330" spans="2:10" s="89" customFormat="1">
      <c r="B330" s="82"/>
      <c r="C330" s="149"/>
      <c r="D330" s="84"/>
      <c r="E330" s="84"/>
      <c r="F330" s="84"/>
      <c r="G330" s="84"/>
      <c r="H330" s="85"/>
      <c r="I330" s="86"/>
      <c r="J330" s="88"/>
    </row>
    <row r="331" spans="2:10" s="89" customFormat="1">
      <c r="B331" s="82"/>
      <c r="C331" s="149"/>
      <c r="D331" s="84"/>
      <c r="E331" s="84"/>
      <c r="F331" s="84"/>
      <c r="G331" s="84"/>
      <c r="H331" s="85"/>
      <c r="I331" s="86"/>
      <c r="J331" s="88"/>
    </row>
    <row r="332" spans="2:10" s="89" customFormat="1">
      <c r="B332" s="82"/>
      <c r="C332" s="149"/>
      <c r="D332" s="84"/>
      <c r="E332" s="84"/>
      <c r="F332" s="84"/>
      <c r="G332" s="84"/>
      <c r="H332" s="85"/>
      <c r="I332" s="86"/>
      <c r="J332" s="88"/>
    </row>
    <row r="333" spans="2:10" s="89" customFormat="1">
      <c r="B333" s="82"/>
      <c r="C333" s="149"/>
      <c r="D333" s="84"/>
      <c r="E333" s="84"/>
      <c r="F333" s="84"/>
      <c r="G333" s="84"/>
      <c r="H333" s="85"/>
      <c r="I333" s="86"/>
      <c r="J333" s="88"/>
    </row>
    <row r="334" spans="2:10" s="89" customFormat="1">
      <c r="B334" s="82"/>
      <c r="C334" s="149"/>
      <c r="D334" s="84"/>
      <c r="E334" s="84"/>
      <c r="F334" s="84"/>
      <c r="G334" s="84"/>
      <c r="H334" s="85"/>
      <c r="I334" s="86"/>
      <c r="J334" s="88"/>
    </row>
    <row r="335" spans="2:10" s="89" customFormat="1">
      <c r="B335" s="82"/>
      <c r="C335" s="149"/>
      <c r="D335" s="84"/>
      <c r="E335" s="84"/>
      <c r="F335" s="84"/>
      <c r="G335" s="84"/>
      <c r="H335" s="85"/>
      <c r="I335" s="86"/>
      <c r="J335" s="88"/>
    </row>
    <row r="336" spans="2:10" s="89" customFormat="1">
      <c r="B336" s="82"/>
      <c r="C336" s="149"/>
      <c r="D336" s="84"/>
      <c r="E336" s="84"/>
      <c r="F336" s="84"/>
      <c r="G336" s="84"/>
      <c r="H336" s="85"/>
      <c r="I336" s="86"/>
      <c r="J336" s="88"/>
    </row>
    <row r="337" spans="2:10" s="89" customFormat="1">
      <c r="B337" s="82"/>
      <c r="C337" s="149"/>
      <c r="D337" s="84"/>
      <c r="E337" s="84"/>
      <c r="F337" s="84"/>
      <c r="G337" s="84"/>
      <c r="H337" s="85"/>
      <c r="I337" s="86"/>
      <c r="J337" s="88"/>
    </row>
    <row r="338" spans="2:10" s="89" customFormat="1">
      <c r="B338" s="82"/>
      <c r="C338" s="149"/>
      <c r="D338" s="84"/>
      <c r="E338" s="84"/>
      <c r="F338" s="84"/>
      <c r="G338" s="84"/>
      <c r="H338" s="85"/>
      <c r="I338" s="86"/>
      <c r="J338" s="88"/>
    </row>
    <row r="339" spans="2:10" s="89" customFormat="1">
      <c r="B339" s="82"/>
      <c r="C339" s="149"/>
      <c r="D339" s="84"/>
      <c r="E339" s="84"/>
      <c r="F339" s="84"/>
      <c r="G339" s="84"/>
      <c r="H339" s="85"/>
      <c r="I339" s="86"/>
      <c r="J339" s="88"/>
    </row>
    <row r="340" spans="2:10" s="89" customFormat="1">
      <c r="B340" s="82"/>
      <c r="C340" s="149"/>
      <c r="D340" s="84"/>
      <c r="E340" s="84"/>
      <c r="F340" s="84"/>
      <c r="G340" s="84"/>
      <c r="H340" s="85"/>
      <c r="I340" s="86"/>
      <c r="J340" s="88"/>
    </row>
    <row r="341" spans="2:10" s="89" customFormat="1">
      <c r="B341" s="82"/>
      <c r="C341" s="149"/>
      <c r="D341" s="84"/>
      <c r="E341" s="84"/>
      <c r="F341" s="84"/>
      <c r="G341" s="84"/>
      <c r="H341" s="85"/>
      <c r="I341" s="86"/>
      <c r="J341" s="88"/>
    </row>
    <row r="342" spans="2:10" s="89" customFormat="1">
      <c r="B342" s="82"/>
      <c r="C342" s="149"/>
      <c r="D342" s="84"/>
      <c r="E342" s="84"/>
      <c r="F342" s="84"/>
      <c r="G342" s="84"/>
      <c r="H342" s="85"/>
      <c r="I342" s="86"/>
      <c r="J342" s="88"/>
    </row>
    <row r="343" spans="2:10" s="89" customFormat="1">
      <c r="B343" s="82"/>
      <c r="C343" s="149"/>
      <c r="D343" s="84"/>
      <c r="E343" s="84"/>
      <c r="F343" s="84"/>
      <c r="G343" s="84"/>
      <c r="H343" s="85"/>
      <c r="I343" s="86"/>
      <c r="J343" s="88"/>
    </row>
    <row r="344" spans="2:10" s="89" customFormat="1">
      <c r="B344" s="82"/>
      <c r="C344" s="149"/>
      <c r="D344" s="84"/>
      <c r="E344" s="84"/>
      <c r="F344" s="84"/>
      <c r="G344" s="84"/>
      <c r="H344" s="85"/>
      <c r="I344" s="86"/>
      <c r="J344" s="88"/>
    </row>
    <row r="345" spans="2:10" s="89" customFormat="1">
      <c r="B345" s="82"/>
      <c r="C345" s="149"/>
      <c r="D345" s="84"/>
      <c r="E345" s="84"/>
      <c r="F345" s="84"/>
      <c r="G345" s="84"/>
      <c r="H345" s="85"/>
      <c r="I345" s="86"/>
      <c r="J345" s="88"/>
    </row>
    <row r="346" spans="2:10" s="89" customFormat="1">
      <c r="B346" s="82"/>
      <c r="C346" s="149"/>
      <c r="D346" s="84"/>
      <c r="E346" s="84"/>
      <c r="F346" s="84"/>
      <c r="G346" s="84"/>
      <c r="H346" s="85"/>
      <c r="I346" s="86"/>
      <c r="J346" s="88"/>
    </row>
    <row r="347" spans="2:10" s="89" customFormat="1">
      <c r="B347" s="82"/>
      <c r="C347" s="149"/>
      <c r="D347" s="84"/>
      <c r="E347" s="84"/>
      <c r="F347" s="84"/>
      <c r="G347" s="84"/>
      <c r="H347" s="85"/>
      <c r="I347" s="86"/>
      <c r="J347" s="88"/>
    </row>
    <row r="348" spans="2:10" s="89" customFormat="1">
      <c r="B348" s="82"/>
      <c r="C348" s="149"/>
      <c r="D348" s="84"/>
      <c r="E348" s="84"/>
      <c r="F348" s="84"/>
      <c r="G348" s="84"/>
      <c r="H348" s="85"/>
      <c r="I348" s="86"/>
      <c r="J348" s="88"/>
    </row>
    <row r="349" spans="2:10" s="89" customFormat="1">
      <c r="B349" s="82"/>
      <c r="C349" s="149"/>
      <c r="D349" s="84"/>
      <c r="E349" s="84"/>
      <c r="F349" s="84"/>
      <c r="G349" s="84"/>
      <c r="H349" s="85"/>
      <c r="I349" s="86"/>
      <c r="J349" s="88"/>
    </row>
    <row r="350" spans="2:10" s="89" customFormat="1">
      <c r="B350" s="82"/>
      <c r="C350" s="149"/>
      <c r="D350" s="84"/>
      <c r="E350" s="84"/>
      <c r="F350" s="84"/>
      <c r="G350" s="84"/>
      <c r="H350" s="85"/>
      <c r="I350" s="86"/>
      <c r="J350" s="88"/>
    </row>
    <row r="351" spans="2:10" s="89" customFormat="1">
      <c r="B351" s="82"/>
      <c r="C351" s="149"/>
      <c r="D351" s="84"/>
      <c r="E351" s="84"/>
      <c r="F351" s="84"/>
      <c r="G351" s="84"/>
      <c r="H351" s="85"/>
      <c r="I351" s="86"/>
      <c r="J351" s="88"/>
    </row>
    <row r="352" spans="2:10" s="89" customFormat="1">
      <c r="B352" s="82"/>
      <c r="C352" s="149"/>
      <c r="D352" s="84"/>
      <c r="E352" s="84"/>
      <c r="F352" s="84"/>
      <c r="G352" s="84"/>
      <c r="H352" s="85"/>
      <c r="I352" s="86"/>
      <c r="J352" s="88"/>
    </row>
    <row r="353" spans="2:10" s="89" customFormat="1">
      <c r="B353" s="82"/>
      <c r="C353" s="149"/>
      <c r="D353" s="84"/>
      <c r="E353" s="84"/>
      <c r="F353" s="84"/>
      <c r="G353" s="84"/>
      <c r="H353" s="85"/>
      <c r="I353" s="86"/>
      <c r="J353" s="88"/>
    </row>
    <row r="354" spans="2:10" s="89" customFormat="1">
      <c r="B354" s="82"/>
      <c r="C354" s="149"/>
      <c r="D354" s="84"/>
      <c r="E354" s="84"/>
      <c r="F354" s="84"/>
      <c r="G354" s="84"/>
      <c r="H354" s="85"/>
      <c r="I354" s="86"/>
      <c r="J354" s="88"/>
    </row>
    <row r="355" spans="2:10" s="89" customFormat="1">
      <c r="B355" s="82"/>
      <c r="C355" s="149"/>
      <c r="D355" s="84"/>
      <c r="E355" s="84"/>
      <c r="F355" s="84"/>
      <c r="G355" s="84"/>
      <c r="H355" s="85"/>
      <c r="I355" s="86"/>
      <c r="J355" s="88"/>
    </row>
    <row r="356" spans="2:10" s="89" customFormat="1">
      <c r="B356" s="82"/>
      <c r="C356" s="149"/>
      <c r="D356" s="84"/>
      <c r="E356" s="84"/>
      <c r="F356" s="84"/>
      <c r="G356" s="84"/>
      <c r="H356" s="85"/>
      <c r="I356" s="86"/>
      <c r="J356" s="88"/>
    </row>
    <row r="357" spans="2:10" s="89" customFormat="1">
      <c r="B357" s="82"/>
      <c r="C357" s="149"/>
      <c r="D357" s="84"/>
      <c r="E357" s="84"/>
      <c r="F357" s="84"/>
      <c r="G357" s="84"/>
      <c r="H357" s="85"/>
      <c r="I357" s="86"/>
      <c r="J357" s="88"/>
    </row>
    <row r="358" spans="2:10" s="89" customFormat="1">
      <c r="B358" s="82"/>
      <c r="C358" s="149"/>
      <c r="D358" s="84"/>
      <c r="E358" s="84"/>
      <c r="F358" s="84"/>
      <c r="G358" s="84"/>
      <c r="H358" s="85"/>
      <c r="I358" s="86"/>
      <c r="J358" s="88"/>
    </row>
    <row r="359" spans="2:10" s="89" customFormat="1">
      <c r="B359" s="82"/>
      <c r="C359" s="149"/>
      <c r="D359" s="84"/>
      <c r="E359" s="84"/>
      <c r="F359" s="84"/>
      <c r="G359" s="84"/>
      <c r="H359" s="85"/>
      <c r="I359" s="86"/>
      <c r="J359" s="88"/>
    </row>
    <row r="360" spans="2:10" s="89" customFormat="1">
      <c r="B360" s="82"/>
      <c r="C360" s="149"/>
      <c r="D360" s="84"/>
      <c r="E360" s="84"/>
      <c r="F360" s="84"/>
      <c r="G360" s="84"/>
      <c r="H360" s="85"/>
      <c r="I360" s="86"/>
      <c r="J360" s="88"/>
    </row>
    <row r="361" spans="2:10" s="89" customFormat="1">
      <c r="B361" s="82"/>
      <c r="C361" s="149"/>
      <c r="D361" s="84"/>
      <c r="E361" s="84"/>
      <c r="F361" s="84"/>
      <c r="G361" s="84"/>
      <c r="H361" s="85"/>
      <c r="I361" s="86"/>
      <c r="J361" s="88"/>
    </row>
    <row r="362" spans="2:10" s="89" customFormat="1">
      <c r="B362" s="82"/>
      <c r="C362" s="149"/>
      <c r="D362" s="84"/>
      <c r="E362" s="84"/>
      <c r="F362" s="84"/>
      <c r="G362" s="84"/>
      <c r="H362" s="85"/>
      <c r="I362" s="86"/>
      <c r="J362" s="88"/>
    </row>
    <row r="363" spans="2:10" s="89" customFormat="1">
      <c r="B363" s="82"/>
      <c r="C363" s="149"/>
      <c r="D363" s="84"/>
      <c r="E363" s="84"/>
      <c r="F363" s="84"/>
      <c r="G363" s="84"/>
      <c r="H363" s="85"/>
      <c r="I363" s="86"/>
      <c r="J363" s="88"/>
    </row>
    <row r="364" spans="2:10" s="89" customFormat="1">
      <c r="B364" s="82"/>
      <c r="C364" s="149"/>
      <c r="D364" s="84"/>
      <c r="E364" s="84"/>
      <c r="F364" s="84"/>
      <c r="G364" s="84"/>
      <c r="H364" s="85"/>
      <c r="I364" s="86"/>
      <c r="J364" s="88"/>
    </row>
    <row r="365" spans="2:10" s="89" customFormat="1">
      <c r="B365" s="82"/>
      <c r="C365" s="149"/>
      <c r="D365" s="84"/>
      <c r="E365" s="84"/>
      <c r="F365" s="84"/>
      <c r="G365" s="84"/>
      <c r="H365" s="85"/>
      <c r="I365" s="86"/>
      <c r="J365" s="88"/>
    </row>
    <row r="366" spans="2:10" s="89" customFormat="1">
      <c r="B366" s="82"/>
      <c r="C366" s="149"/>
      <c r="D366" s="84"/>
      <c r="E366" s="84"/>
      <c r="F366" s="84"/>
      <c r="G366" s="84"/>
      <c r="H366" s="85"/>
      <c r="I366" s="86"/>
      <c r="J366" s="88"/>
    </row>
    <row r="367" spans="2:10" s="89" customFormat="1">
      <c r="B367" s="82"/>
      <c r="C367" s="149"/>
      <c r="D367" s="84"/>
      <c r="E367" s="84"/>
      <c r="F367" s="84"/>
      <c r="G367" s="84"/>
      <c r="H367" s="85"/>
      <c r="I367" s="86"/>
      <c r="J367" s="88"/>
    </row>
    <row r="368" spans="2:10" s="89" customFormat="1">
      <c r="B368" s="82"/>
      <c r="C368" s="149"/>
      <c r="D368" s="84"/>
      <c r="E368" s="84"/>
      <c r="F368" s="84"/>
      <c r="G368" s="84"/>
      <c r="H368" s="85"/>
      <c r="I368" s="86"/>
      <c r="J368" s="88"/>
    </row>
    <row r="369" spans="2:10" s="89" customFormat="1">
      <c r="B369" s="82"/>
      <c r="C369" s="149"/>
      <c r="D369" s="84"/>
      <c r="E369" s="84"/>
      <c r="F369" s="84"/>
      <c r="G369" s="84"/>
      <c r="H369" s="85"/>
      <c r="I369" s="86"/>
      <c r="J369" s="88"/>
    </row>
    <row r="370" spans="2:10" s="89" customFormat="1">
      <c r="B370" s="82"/>
      <c r="C370" s="149"/>
      <c r="D370" s="84"/>
      <c r="E370" s="84"/>
      <c r="F370" s="84"/>
      <c r="G370" s="84"/>
      <c r="H370" s="85"/>
      <c r="I370" s="86"/>
      <c r="J370" s="88"/>
    </row>
    <row r="371" spans="2:10" s="89" customFormat="1">
      <c r="B371" s="82"/>
      <c r="C371" s="149"/>
      <c r="D371" s="84"/>
      <c r="E371" s="84"/>
      <c r="F371" s="84"/>
      <c r="G371" s="84"/>
      <c r="H371" s="85"/>
      <c r="I371" s="86"/>
      <c r="J371" s="88"/>
    </row>
    <row r="372" spans="2:10" s="89" customFormat="1">
      <c r="B372" s="82"/>
      <c r="C372" s="149"/>
      <c r="D372" s="84"/>
      <c r="E372" s="84"/>
      <c r="F372" s="84"/>
      <c r="G372" s="84"/>
      <c r="H372" s="85"/>
      <c r="I372" s="86"/>
      <c r="J372" s="88"/>
    </row>
    <row r="373" spans="2:10" s="89" customFormat="1">
      <c r="B373" s="82"/>
      <c r="C373" s="149"/>
      <c r="D373" s="84"/>
      <c r="E373" s="84"/>
      <c r="F373" s="84"/>
      <c r="G373" s="84"/>
      <c r="H373" s="85"/>
      <c r="I373" s="86"/>
      <c r="J373" s="88"/>
    </row>
    <row r="374" spans="2:10" s="89" customFormat="1">
      <c r="B374" s="82"/>
      <c r="C374" s="149"/>
      <c r="D374" s="84"/>
      <c r="E374" s="84"/>
      <c r="F374" s="84"/>
      <c r="G374" s="84"/>
      <c r="H374" s="85"/>
      <c r="I374" s="86"/>
      <c r="J374" s="88"/>
    </row>
    <row r="375" spans="2:10" s="89" customFormat="1">
      <c r="B375" s="82"/>
      <c r="C375" s="149"/>
      <c r="D375" s="84"/>
      <c r="E375" s="84"/>
      <c r="F375" s="84"/>
      <c r="G375" s="84"/>
      <c r="H375" s="85"/>
      <c r="I375" s="86"/>
      <c r="J375" s="88"/>
    </row>
    <row r="376" spans="2:10" s="89" customFormat="1">
      <c r="B376" s="82"/>
      <c r="C376" s="149"/>
      <c r="D376" s="84"/>
      <c r="E376" s="84"/>
      <c r="F376" s="84"/>
      <c r="G376" s="84"/>
      <c r="H376" s="85"/>
      <c r="I376" s="86"/>
      <c r="J376" s="88"/>
    </row>
    <row r="377" spans="2:10" s="89" customFormat="1">
      <c r="B377" s="82"/>
      <c r="C377" s="149"/>
      <c r="D377" s="84"/>
      <c r="E377" s="84"/>
      <c r="F377" s="84"/>
      <c r="G377" s="84"/>
      <c r="H377" s="85"/>
      <c r="I377" s="86"/>
      <c r="J377" s="88"/>
    </row>
    <row r="378" spans="2:10" s="89" customFormat="1">
      <c r="B378" s="82"/>
      <c r="C378" s="149"/>
      <c r="D378" s="84"/>
      <c r="E378" s="84"/>
      <c r="F378" s="84"/>
      <c r="G378" s="84"/>
      <c r="H378" s="85"/>
      <c r="I378" s="86"/>
      <c r="J378" s="88"/>
    </row>
    <row r="379" spans="2:10" s="89" customFormat="1">
      <c r="B379" s="82"/>
      <c r="C379" s="149"/>
      <c r="D379" s="84"/>
      <c r="E379" s="84"/>
      <c r="F379" s="84"/>
      <c r="G379" s="84"/>
      <c r="H379" s="85"/>
      <c r="I379" s="86"/>
      <c r="J379" s="88"/>
    </row>
    <row r="380" spans="2:10" s="89" customFormat="1">
      <c r="B380" s="82"/>
      <c r="C380" s="149"/>
      <c r="D380" s="84"/>
      <c r="E380" s="84"/>
      <c r="F380" s="84"/>
      <c r="G380" s="84"/>
      <c r="H380" s="85"/>
      <c r="I380" s="86"/>
      <c r="J380" s="88"/>
    </row>
    <row r="381" spans="2:10" s="89" customFormat="1">
      <c r="B381" s="82"/>
      <c r="C381" s="149"/>
      <c r="D381" s="84"/>
      <c r="E381" s="84"/>
      <c r="F381" s="84"/>
      <c r="G381" s="84"/>
      <c r="H381" s="85"/>
      <c r="I381" s="86"/>
      <c r="J381" s="88"/>
    </row>
    <row r="382" spans="2:10" s="89" customFormat="1">
      <c r="B382" s="82"/>
      <c r="C382" s="149"/>
      <c r="D382" s="84"/>
      <c r="E382" s="84"/>
      <c r="F382" s="84"/>
      <c r="G382" s="84"/>
      <c r="H382" s="85"/>
      <c r="I382" s="86"/>
      <c r="J382" s="88"/>
    </row>
    <row r="383" spans="2:10" s="89" customFormat="1">
      <c r="B383" s="82"/>
      <c r="C383" s="149"/>
      <c r="D383" s="84"/>
      <c r="E383" s="84"/>
      <c r="F383" s="84"/>
      <c r="G383" s="84"/>
      <c r="H383" s="85"/>
      <c r="I383" s="86"/>
      <c r="J383" s="88"/>
    </row>
    <row r="384" spans="2:10" s="89" customFormat="1">
      <c r="B384" s="82"/>
      <c r="C384" s="149"/>
      <c r="D384" s="84"/>
      <c r="E384" s="84"/>
      <c r="F384" s="84"/>
      <c r="G384" s="84"/>
      <c r="H384" s="85"/>
      <c r="I384" s="86"/>
      <c r="J384" s="88"/>
    </row>
    <row r="385" spans="2:10" s="89" customFormat="1">
      <c r="B385" s="82"/>
      <c r="C385" s="149"/>
      <c r="D385" s="84"/>
      <c r="E385" s="84"/>
      <c r="F385" s="84"/>
      <c r="G385" s="84"/>
      <c r="H385" s="85"/>
      <c r="I385" s="86"/>
      <c r="J385" s="88"/>
    </row>
    <row r="386" spans="2:10" s="89" customFormat="1">
      <c r="B386" s="82"/>
      <c r="C386" s="149"/>
      <c r="D386" s="84"/>
      <c r="E386" s="84"/>
      <c r="F386" s="84"/>
      <c r="G386" s="84"/>
      <c r="H386" s="85"/>
      <c r="I386" s="86"/>
      <c r="J386" s="88"/>
    </row>
    <row r="387" spans="2:10" s="89" customFormat="1">
      <c r="B387" s="82"/>
      <c r="C387" s="149"/>
      <c r="D387" s="84"/>
      <c r="E387" s="84"/>
      <c r="F387" s="84"/>
      <c r="G387" s="84"/>
      <c r="H387" s="85"/>
      <c r="I387" s="86"/>
      <c r="J387" s="88"/>
    </row>
    <row r="388" spans="2:10" s="89" customFormat="1">
      <c r="B388" s="82"/>
      <c r="C388" s="149"/>
      <c r="D388" s="84"/>
      <c r="E388" s="84"/>
      <c r="F388" s="84"/>
      <c r="G388" s="84"/>
      <c r="H388" s="85"/>
      <c r="I388" s="86"/>
      <c r="J388" s="88"/>
    </row>
    <row r="389" spans="2:10" s="89" customFormat="1">
      <c r="B389" s="82"/>
      <c r="C389" s="149"/>
      <c r="D389" s="84"/>
      <c r="E389" s="84"/>
      <c r="F389" s="84"/>
      <c r="G389" s="84"/>
      <c r="H389" s="85"/>
      <c r="I389" s="86"/>
      <c r="J389" s="88"/>
    </row>
    <row r="390" spans="2:10" s="89" customFormat="1">
      <c r="B390" s="82"/>
      <c r="C390" s="149"/>
      <c r="D390" s="84"/>
      <c r="E390" s="84"/>
      <c r="F390" s="84"/>
      <c r="G390" s="84"/>
      <c r="H390" s="85"/>
      <c r="I390" s="86"/>
      <c r="J390" s="88"/>
    </row>
    <row r="391" spans="2:10" s="89" customFormat="1">
      <c r="B391" s="82"/>
      <c r="C391" s="149"/>
      <c r="D391" s="84"/>
      <c r="E391" s="84"/>
      <c r="F391" s="84"/>
      <c r="G391" s="84"/>
      <c r="H391" s="85"/>
      <c r="I391" s="86"/>
      <c r="J391" s="88"/>
    </row>
    <row r="392" spans="2:10" s="89" customFormat="1">
      <c r="B392" s="82"/>
      <c r="C392" s="149"/>
      <c r="D392" s="84"/>
      <c r="E392" s="84"/>
      <c r="F392" s="84"/>
      <c r="G392" s="84"/>
      <c r="H392" s="85"/>
      <c r="I392" s="86"/>
      <c r="J392" s="88"/>
    </row>
    <row r="393" spans="2:10" s="89" customFormat="1">
      <c r="B393" s="82"/>
      <c r="C393" s="149"/>
      <c r="D393" s="84"/>
      <c r="E393" s="84"/>
      <c r="F393" s="84"/>
      <c r="G393" s="84"/>
      <c r="H393" s="85"/>
      <c r="I393" s="86"/>
      <c r="J393" s="88"/>
    </row>
    <row r="394" spans="2:10" s="89" customFormat="1">
      <c r="B394" s="82"/>
      <c r="C394" s="149"/>
      <c r="D394" s="84"/>
      <c r="E394" s="84"/>
      <c r="F394" s="84"/>
      <c r="G394" s="84"/>
      <c r="H394" s="85"/>
      <c r="I394" s="86"/>
      <c r="J394" s="88"/>
    </row>
    <row r="395" spans="2:10" s="89" customFormat="1">
      <c r="B395" s="82"/>
      <c r="C395" s="149"/>
      <c r="D395" s="84"/>
      <c r="E395" s="84"/>
      <c r="F395" s="84"/>
      <c r="G395" s="84"/>
      <c r="H395" s="85"/>
      <c r="I395" s="86"/>
      <c r="J395" s="88"/>
    </row>
    <row r="396" spans="2:10" s="89" customFormat="1">
      <c r="B396" s="82"/>
      <c r="C396" s="149"/>
      <c r="D396" s="84"/>
      <c r="E396" s="84"/>
      <c r="F396" s="84"/>
      <c r="G396" s="84"/>
      <c r="H396" s="85"/>
      <c r="I396" s="86"/>
      <c r="J396" s="88"/>
    </row>
    <row r="397" spans="2:10" s="89" customFormat="1">
      <c r="B397" s="82"/>
      <c r="C397" s="149"/>
      <c r="D397" s="84"/>
      <c r="E397" s="84"/>
      <c r="F397" s="84"/>
      <c r="G397" s="84"/>
      <c r="H397" s="85"/>
      <c r="I397" s="86"/>
      <c r="J397" s="88"/>
    </row>
    <row r="398" spans="2:10" s="89" customFormat="1">
      <c r="B398" s="82"/>
      <c r="C398" s="149"/>
      <c r="D398" s="84"/>
      <c r="E398" s="84"/>
      <c r="F398" s="84"/>
      <c r="G398" s="84"/>
      <c r="H398" s="85"/>
      <c r="I398" s="86"/>
      <c r="J398" s="88"/>
    </row>
    <row r="399" spans="2:10" s="89" customFormat="1">
      <c r="B399" s="82"/>
      <c r="C399" s="149"/>
      <c r="D399" s="84"/>
      <c r="E399" s="84"/>
      <c r="F399" s="84"/>
      <c r="G399" s="84"/>
      <c r="H399" s="85"/>
      <c r="I399" s="86"/>
      <c r="J399" s="88"/>
    </row>
    <row r="400" spans="2:10" s="89" customFormat="1">
      <c r="B400" s="82"/>
      <c r="C400" s="149"/>
      <c r="D400" s="84"/>
      <c r="E400" s="84"/>
      <c r="F400" s="84"/>
      <c r="G400" s="84"/>
      <c r="H400" s="85"/>
      <c r="I400" s="86"/>
      <c r="J400" s="88"/>
    </row>
    <row r="401" spans="2:10" s="89" customFormat="1">
      <c r="B401" s="82"/>
      <c r="C401" s="149"/>
      <c r="D401" s="84"/>
      <c r="E401" s="84"/>
      <c r="F401" s="84"/>
      <c r="G401" s="84"/>
      <c r="H401" s="85"/>
      <c r="I401" s="86"/>
      <c r="J401" s="88"/>
    </row>
    <row r="402" spans="2:10" s="89" customFormat="1">
      <c r="B402" s="82"/>
      <c r="C402" s="149"/>
      <c r="D402" s="84"/>
      <c r="E402" s="84"/>
      <c r="F402" s="84"/>
      <c r="G402" s="84"/>
      <c r="H402" s="85"/>
      <c r="I402" s="86"/>
      <c r="J402" s="88"/>
    </row>
    <row r="403" spans="2:10" s="89" customFormat="1">
      <c r="B403" s="82"/>
      <c r="C403" s="149"/>
      <c r="D403" s="84"/>
      <c r="E403" s="84"/>
      <c r="F403" s="84"/>
      <c r="G403" s="84"/>
      <c r="H403" s="85"/>
      <c r="I403" s="86"/>
      <c r="J403" s="88"/>
    </row>
    <row r="404" spans="2:10" s="89" customFormat="1">
      <c r="B404" s="82"/>
      <c r="C404" s="149"/>
      <c r="D404" s="84"/>
      <c r="E404" s="84"/>
      <c r="F404" s="84"/>
      <c r="G404" s="84"/>
      <c r="H404" s="85"/>
      <c r="I404" s="86"/>
      <c r="J404" s="88"/>
    </row>
    <row r="405" spans="2:10" s="89" customFormat="1">
      <c r="B405" s="82"/>
      <c r="C405" s="149"/>
      <c r="D405" s="84"/>
      <c r="E405" s="84"/>
      <c r="F405" s="84"/>
      <c r="G405" s="84"/>
      <c r="H405" s="85"/>
      <c r="I405" s="86"/>
      <c r="J405" s="88"/>
    </row>
    <row r="406" spans="2:10" s="89" customFormat="1">
      <c r="B406" s="82"/>
      <c r="C406" s="149"/>
      <c r="D406" s="84"/>
      <c r="E406" s="84"/>
      <c r="F406" s="84"/>
      <c r="G406" s="84"/>
      <c r="H406" s="85"/>
      <c r="I406" s="86"/>
      <c r="J406" s="88"/>
    </row>
    <row r="407" spans="2:10" s="89" customFormat="1">
      <c r="B407" s="82"/>
      <c r="C407" s="149"/>
      <c r="D407" s="84"/>
      <c r="E407" s="84"/>
      <c r="F407" s="84"/>
      <c r="G407" s="84"/>
      <c r="H407" s="85"/>
      <c r="I407" s="86"/>
      <c r="J407" s="88"/>
    </row>
    <row r="408" spans="2:10" s="89" customFormat="1">
      <c r="B408" s="82"/>
      <c r="C408" s="149"/>
      <c r="D408" s="84"/>
      <c r="E408" s="84"/>
      <c r="F408" s="84"/>
      <c r="G408" s="84"/>
      <c r="H408" s="85"/>
      <c r="I408" s="86"/>
      <c r="J408" s="88"/>
    </row>
    <row r="409" spans="2:10" s="89" customFormat="1">
      <c r="B409" s="82"/>
      <c r="C409" s="149"/>
      <c r="D409" s="84"/>
      <c r="E409" s="84"/>
      <c r="F409" s="84"/>
      <c r="G409" s="84"/>
      <c r="H409" s="85"/>
      <c r="I409" s="86"/>
      <c r="J409" s="88"/>
    </row>
    <row r="410" spans="2:10" s="89" customFormat="1">
      <c r="B410" s="82"/>
      <c r="C410" s="149"/>
      <c r="D410" s="84"/>
      <c r="E410" s="84"/>
      <c r="F410" s="84"/>
      <c r="G410" s="84"/>
      <c r="H410" s="85"/>
      <c r="I410" s="86"/>
      <c r="J410" s="88"/>
    </row>
    <row r="411" spans="2:10" s="89" customFormat="1">
      <c r="B411" s="82"/>
      <c r="C411" s="149"/>
      <c r="D411" s="84"/>
      <c r="E411" s="84"/>
      <c r="F411" s="84"/>
      <c r="G411" s="84"/>
      <c r="H411" s="85"/>
      <c r="I411" s="86"/>
      <c r="J411" s="88"/>
    </row>
    <row r="412" spans="2:10" s="89" customFormat="1">
      <c r="B412" s="82"/>
      <c r="C412" s="149"/>
      <c r="D412" s="84"/>
      <c r="E412" s="84"/>
      <c r="F412" s="84"/>
      <c r="G412" s="84"/>
      <c r="H412" s="85"/>
      <c r="I412" s="86"/>
      <c r="J412" s="88"/>
    </row>
    <row r="413" spans="2:10" s="89" customFormat="1">
      <c r="B413" s="82"/>
      <c r="C413" s="149"/>
      <c r="D413" s="84"/>
      <c r="E413" s="84"/>
      <c r="F413" s="84"/>
      <c r="G413" s="84"/>
      <c r="H413" s="85"/>
      <c r="I413" s="86"/>
      <c r="J413" s="88"/>
    </row>
    <row r="414" spans="2:10" s="89" customFormat="1">
      <c r="B414" s="82"/>
      <c r="C414" s="149"/>
      <c r="D414" s="84"/>
      <c r="E414" s="84"/>
      <c r="F414" s="84"/>
      <c r="G414" s="84"/>
      <c r="H414" s="85"/>
      <c r="I414" s="86"/>
      <c r="J414" s="88"/>
    </row>
    <row r="415" spans="2:10" s="89" customFormat="1">
      <c r="B415" s="82"/>
      <c r="C415" s="149"/>
      <c r="D415" s="84"/>
      <c r="E415" s="84"/>
      <c r="F415" s="84"/>
      <c r="G415" s="84"/>
      <c r="H415" s="85"/>
      <c r="I415" s="86"/>
      <c r="J415" s="88"/>
    </row>
    <row r="416" spans="2:10" s="89" customFormat="1">
      <c r="B416" s="82"/>
      <c r="C416" s="149"/>
      <c r="D416" s="84"/>
      <c r="E416" s="84"/>
      <c r="F416" s="84"/>
      <c r="G416" s="84"/>
      <c r="H416" s="85"/>
      <c r="I416" s="86"/>
      <c r="J416" s="88"/>
    </row>
    <row r="417" spans="2:10" s="89" customFormat="1">
      <c r="B417" s="82"/>
      <c r="C417" s="149"/>
      <c r="D417" s="84"/>
      <c r="E417" s="84"/>
      <c r="F417" s="84"/>
      <c r="G417" s="84"/>
      <c r="H417" s="85"/>
      <c r="I417" s="86"/>
      <c r="J417" s="88"/>
    </row>
    <row r="418" spans="2:10" s="89" customFormat="1">
      <c r="B418" s="82"/>
      <c r="C418" s="149"/>
      <c r="D418" s="84"/>
      <c r="E418" s="84"/>
      <c r="F418" s="84"/>
      <c r="G418" s="84"/>
      <c r="H418" s="85"/>
      <c r="I418" s="86"/>
      <c r="J418" s="88"/>
    </row>
    <row r="419" spans="2:10" s="89" customFormat="1">
      <c r="B419" s="82"/>
      <c r="C419" s="149"/>
      <c r="D419" s="84"/>
      <c r="E419" s="84"/>
      <c r="F419" s="84"/>
      <c r="G419" s="84"/>
      <c r="H419" s="85"/>
      <c r="I419" s="86"/>
      <c r="J419" s="88"/>
    </row>
    <row r="420" spans="2:10" s="89" customFormat="1">
      <c r="B420" s="82"/>
      <c r="C420" s="149"/>
      <c r="D420" s="84"/>
      <c r="E420" s="84"/>
      <c r="F420" s="84"/>
      <c r="G420" s="84"/>
      <c r="H420" s="85"/>
      <c r="I420" s="86"/>
      <c r="J420" s="88"/>
    </row>
    <row r="421" spans="2:10" s="89" customFormat="1">
      <c r="B421" s="82"/>
      <c r="C421" s="149"/>
      <c r="D421" s="84"/>
      <c r="E421" s="84"/>
      <c r="F421" s="84"/>
      <c r="G421" s="84"/>
      <c r="H421" s="85"/>
      <c r="I421" s="86"/>
      <c r="J421" s="88"/>
    </row>
    <row r="422" spans="2:10" s="89" customFormat="1">
      <c r="B422" s="82"/>
      <c r="C422" s="149"/>
      <c r="D422" s="84"/>
      <c r="E422" s="84"/>
      <c r="F422" s="84"/>
      <c r="G422" s="84"/>
      <c r="H422" s="85"/>
      <c r="I422" s="86"/>
      <c r="J422" s="88"/>
    </row>
    <row r="423" spans="2:10" s="89" customFormat="1">
      <c r="B423" s="82"/>
      <c r="C423" s="149"/>
      <c r="D423" s="84"/>
      <c r="E423" s="84"/>
      <c r="F423" s="84"/>
      <c r="G423" s="84"/>
      <c r="H423" s="85"/>
      <c r="I423" s="86"/>
      <c r="J423" s="88"/>
    </row>
    <row r="424" spans="2:10" s="89" customFormat="1">
      <c r="B424" s="82"/>
      <c r="C424" s="149"/>
      <c r="D424" s="84"/>
      <c r="E424" s="84"/>
      <c r="F424" s="84"/>
      <c r="G424" s="84"/>
      <c r="H424" s="85"/>
      <c r="I424" s="86"/>
      <c r="J424" s="88"/>
    </row>
    <row r="425" spans="2:10" s="89" customFormat="1">
      <c r="B425" s="82"/>
      <c r="C425" s="149"/>
      <c r="D425" s="84"/>
      <c r="E425" s="84"/>
      <c r="F425" s="84"/>
      <c r="G425" s="84"/>
      <c r="H425" s="85"/>
      <c r="I425" s="86"/>
      <c r="J425" s="88"/>
    </row>
    <row r="426" spans="2:10" s="89" customFormat="1">
      <c r="B426" s="82"/>
      <c r="C426" s="149"/>
      <c r="D426" s="84"/>
      <c r="E426" s="84"/>
      <c r="F426" s="84"/>
      <c r="G426" s="84"/>
      <c r="H426" s="85"/>
      <c r="I426" s="86"/>
      <c r="J426" s="88"/>
    </row>
    <row r="427" spans="2:10" s="89" customFormat="1">
      <c r="B427" s="82"/>
      <c r="C427" s="149"/>
      <c r="D427" s="84"/>
      <c r="E427" s="84"/>
      <c r="F427" s="84"/>
      <c r="G427" s="84"/>
      <c r="H427" s="85"/>
      <c r="I427" s="86"/>
      <c r="J427" s="88"/>
    </row>
    <row r="428" spans="2:10" s="89" customFormat="1">
      <c r="B428" s="82"/>
      <c r="C428" s="149"/>
      <c r="D428" s="84"/>
      <c r="E428" s="84"/>
      <c r="F428" s="84"/>
      <c r="G428" s="84"/>
      <c r="H428" s="85"/>
      <c r="I428" s="86"/>
      <c r="J428" s="88"/>
    </row>
    <row r="429" spans="2:10" s="89" customFormat="1">
      <c r="B429" s="82"/>
      <c r="C429" s="149"/>
      <c r="D429" s="84"/>
      <c r="E429" s="84"/>
      <c r="F429" s="84"/>
      <c r="G429" s="84"/>
      <c r="H429" s="85"/>
      <c r="I429" s="86"/>
      <c r="J429" s="88"/>
    </row>
    <row r="430" spans="2:10" s="89" customFormat="1">
      <c r="B430" s="82"/>
      <c r="C430" s="149"/>
      <c r="D430" s="84"/>
      <c r="E430" s="84"/>
      <c r="F430" s="84"/>
      <c r="G430" s="84"/>
      <c r="H430" s="85"/>
      <c r="I430" s="86"/>
      <c r="J430" s="88"/>
    </row>
    <row r="431" spans="2:10" s="89" customFormat="1">
      <c r="B431" s="82"/>
      <c r="C431" s="149"/>
      <c r="D431" s="84"/>
      <c r="E431" s="84"/>
      <c r="F431" s="84"/>
      <c r="G431" s="84"/>
      <c r="H431" s="85"/>
      <c r="I431" s="86"/>
      <c r="J431" s="88"/>
    </row>
    <row r="432" spans="2:10" s="89" customFormat="1">
      <c r="B432" s="82"/>
      <c r="C432" s="149"/>
      <c r="D432" s="84"/>
      <c r="E432" s="84"/>
      <c r="F432" s="84"/>
      <c r="G432" s="84"/>
      <c r="H432" s="85"/>
      <c r="I432" s="86"/>
      <c r="J432" s="88"/>
    </row>
    <row r="433" spans="2:10" s="89" customFormat="1">
      <c r="B433" s="82"/>
      <c r="C433" s="149"/>
      <c r="D433" s="84"/>
      <c r="E433" s="84"/>
      <c r="F433" s="84"/>
      <c r="G433" s="84"/>
      <c r="H433" s="85"/>
      <c r="I433" s="86"/>
      <c r="J433" s="88"/>
    </row>
    <row r="434" spans="2:10" s="89" customFormat="1">
      <c r="B434" s="82"/>
      <c r="C434" s="149"/>
      <c r="D434" s="84"/>
      <c r="E434" s="84"/>
      <c r="F434" s="84"/>
      <c r="G434" s="84"/>
      <c r="H434" s="85"/>
      <c r="I434" s="86"/>
      <c r="J434" s="88"/>
    </row>
    <row r="435" spans="2:10" s="89" customFormat="1">
      <c r="B435" s="82"/>
      <c r="C435" s="149"/>
      <c r="D435" s="84"/>
      <c r="E435" s="84"/>
      <c r="F435" s="84"/>
      <c r="G435" s="84"/>
      <c r="H435" s="85"/>
      <c r="I435" s="86"/>
      <c r="J435" s="88"/>
    </row>
    <row r="436" spans="2:10" s="89" customFormat="1">
      <c r="B436" s="82"/>
      <c r="C436" s="149"/>
      <c r="D436" s="84"/>
      <c r="E436" s="84"/>
      <c r="F436" s="84"/>
      <c r="G436" s="84"/>
      <c r="H436" s="85"/>
      <c r="I436" s="86"/>
      <c r="J436" s="88"/>
    </row>
    <row r="437" spans="2:10" s="89" customFormat="1">
      <c r="B437" s="82"/>
      <c r="C437" s="149"/>
      <c r="D437" s="84"/>
      <c r="E437" s="84"/>
      <c r="F437" s="84"/>
      <c r="G437" s="84"/>
      <c r="H437" s="85"/>
      <c r="I437" s="86"/>
      <c r="J437" s="88"/>
    </row>
    <row r="438" spans="2:10" s="89" customFormat="1">
      <c r="B438" s="82"/>
      <c r="C438" s="149"/>
      <c r="D438" s="84"/>
      <c r="E438" s="84"/>
      <c r="F438" s="84"/>
      <c r="G438" s="84"/>
      <c r="H438" s="85"/>
      <c r="I438" s="86"/>
      <c r="J438" s="88"/>
    </row>
    <row r="439" spans="2:10" s="89" customFormat="1">
      <c r="B439" s="82"/>
      <c r="C439" s="149"/>
      <c r="D439" s="84"/>
      <c r="E439" s="84"/>
      <c r="F439" s="84"/>
      <c r="G439" s="84"/>
      <c r="H439" s="85"/>
      <c r="I439" s="86"/>
      <c r="J439" s="88"/>
    </row>
    <row r="440" spans="2:10" s="89" customFormat="1">
      <c r="B440" s="82"/>
      <c r="C440" s="149"/>
      <c r="D440" s="84"/>
      <c r="E440" s="84"/>
      <c r="F440" s="84"/>
      <c r="G440" s="84"/>
      <c r="H440" s="85"/>
      <c r="I440" s="86"/>
      <c r="J440" s="88"/>
    </row>
    <row r="441" spans="2:10" s="89" customFormat="1">
      <c r="B441" s="82"/>
      <c r="C441" s="149"/>
      <c r="D441" s="84"/>
      <c r="E441" s="84"/>
      <c r="F441" s="84"/>
      <c r="G441" s="84"/>
      <c r="H441" s="85"/>
      <c r="I441" s="86"/>
      <c r="J441" s="88"/>
    </row>
    <row r="442" spans="2:10" s="89" customFormat="1">
      <c r="B442" s="82"/>
      <c r="C442" s="149"/>
      <c r="D442" s="84"/>
      <c r="E442" s="84"/>
      <c r="F442" s="84"/>
      <c r="G442" s="84"/>
      <c r="H442" s="85"/>
      <c r="I442" s="86"/>
      <c r="J442" s="88"/>
    </row>
    <row r="443" spans="2:10" s="89" customFormat="1">
      <c r="B443" s="82"/>
      <c r="C443" s="149"/>
      <c r="D443" s="84"/>
      <c r="E443" s="84"/>
      <c r="F443" s="84"/>
      <c r="G443" s="84"/>
      <c r="H443" s="85"/>
      <c r="I443" s="86"/>
      <c r="J443" s="88"/>
    </row>
    <row r="444" spans="2:10" s="89" customFormat="1">
      <c r="B444" s="82"/>
      <c r="C444" s="149"/>
      <c r="D444" s="84"/>
      <c r="E444" s="84"/>
      <c r="F444" s="84"/>
      <c r="G444" s="84"/>
      <c r="H444" s="85"/>
      <c r="I444" s="86"/>
      <c r="J444" s="88"/>
    </row>
    <row r="445" spans="2:10" s="89" customFormat="1">
      <c r="B445" s="82"/>
      <c r="C445" s="149"/>
      <c r="D445" s="84"/>
      <c r="E445" s="84"/>
      <c r="F445" s="84"/>
      <c r="G445" s="84"/>
      <c r="H445" s="85"/>
      <c r="I445" s="86"/>
      <c r="J445" s="88"/>
    </row>
    <row r="446" spans="2:10" s="89" customFormat="1">
      <c r="B446" s="82"/>
      <c r="C446" s="149"/>
      <c r="D446" s="84"/>
      <c r="E446" s="84"/>
      <c r="F446" s="84"/>
      <c r="G446" s="84"/>
      <c r="H446" s="85"/>
      <c r="I446" s="86"/>
      <c r="J446" s="88"/>
    </row>
    <row r="447" spans="2:10" s="89" customFormat="1">
      <c r="B447" s="82"/>
      <c r="C447" s="149"/>
      <c r="D447" s="84"/>
      <c r="E447" s="84"/>
      <c r="F447" s="84"/>
      <c r="G447" s="84"/>
      <c r="H447" s="85"/>
      <c r="I447" s="86"/>
      <c r="J447" s="88"/>
    </row>
    <row r="448" spans="2:10" s="89" customFormat="1">
      <c r="B448" s="82"/>
      <c r="C448" s="149"/>
      <c r="D448" s="84"/>
      <c r="E448" s="84"/>
      <c r="F448" s="84"/>
      <c r="G448" s="84"/>
      <c r="H448" s="85"/>
      <c r="I448" s="86"/>
      <c r="J448" s="88"/>
    </row>
    <row r="449" spans="2:10" s="89" customFormat="1">
      <c r="B449" s="82"/>
      <c r="C449" s="149"/>
      <c r="D449" s="84"/>
      <c r="E449" s="84"/>
      <c r="F449" s="84"/>
      <c r="G449" s="84"/>
      <c r="H449" s="85"/>
      <c r="I449" s="86"/>
      <c r="J449" s="88"/>
    </row>
    <row r="450" spans="2:10" s="89" customFormat="1">
      <c r="B450" s="82"/>
      <c r="C450" s="149"/>
      <c r="D450" s="84"/>
      <c r="E450" s="84"/>
      <c r="F450" s="84"/>
      <c r="G450" s="84"/>
      <c r="H450" s="85"/>
      <c r="I450" s="86"/>
      <c r="J450" s="88"/>
    </row>
    <row r="451" spans="2:10" s="89" customFormat="1">
      <c r="B451" s="82"/>
      <c r="C451" s="149"/>
      <c r="D451" s="84"/>
      <c r="E451" s="84"/>
      <c r="F451" s="84"/>
      <c r="G451" s="84"/>
      <c r="H451" s="85"/>
      <c r="I451" s="86"/>
      <c r="J451" s="88"/>
    </row>
    <row r="452" spans="2:10" s="89" customFormat="1">
      <c r="B452" s="82"/>
      <c r="C452" s="149"/>
      <c r="D452" s="84"/>
      <c r="E452" s="84"/>
      <c r="F452" s="84"/>
      <c r="G452" s="84"/>
      <c r="H452" s="85"/>
      <c r="I452" s="86"/>
      <c r="J452" s="88"/>
    </row>
    <row r="453" spans="2:10" s="89" customFormat="1">
      <c r="B453" s="82"/>
      <c r="C453" s="149"/>
      <c r="D453" s="84"/>
      <c r="E453" s="84"/>
      <c r="F453" s="84"/>
      <c r="G453" s="84"/>
      <c r="H453" s="85"/>
      <c r="I453" s="86"/>
      <c r="J453" s="88"/>
    </row>
    <row r="454" spans="2:10" s="89" customFormat="1">
      <c r="B454" s="82"/>
      <c r="C454" s="149"/>
      <c r="D454" s="84"/>
      <c r="E454" s="84"/>
      <c r="F454" s="84"/>
      <c r="G454" s="84"/>
      <c r="H454" s="85"/>
      <c r="I454" s="86"/>
      <c r="J454" s="88"/>
    </row>
    <row r="455" spans="2:10" s="89" customFormat="1">
      <c r="B455" s="82"/>
      <c r="C455" s="149"/>
      <c r="D455" s="84"/>
      <c r="E455" s="84"/>
      <c r="F455" s="84"/>
      <c r="G455" s="84"/>
      <c r="H455" s="85"/>
      <c r="I455" s="86"/>
      <c r="J455" s="88"/>
    </row>
    <row r="456" spans="2:10" s="89" customFormat="1">
      <c r="B456" s="82"/>
      <c r="C456" s="149"/>
      <c r="D456" s="84"/>
      <c r="E456" s="84"/>
      <c r="F456" s="84"/>
      <c r="G456" s="84"/>
      <c r="H456" s="85"/>
      <c r="I456" s="86"/>
      <c r="J456" s="88"/>
    </row>
    <row r="457" spans="2:10" s="89" customFormat="1">
      <c r="B457" s="82"/>
      <c r="C457" s="149"/>
      <c r="D457" s="84"/>
      <c r="E457" s="84"/>
      <c r="F457" s="84"/>
      <c r="G457" s="84"/>
      <c r="H457" s="85"/>
      <c r="I457" s="86"/>
      <c r="J457" s="88"/>
    </row>
    <row r="458" spans="2:10" s="89" customFormat="1">
      <c r="B458" s="82"/>
      <c r="C458" s="149"/>
      <c r="D458" s="84"/>
      <c r="E458" s="84"/>
      <c r="F458" s="84"/>
      <c r="G458" s="84"/>
      <c r="H458" s="85"/>
      <c r="I458" s="86"/>
      <c r="J458" s="88"/>
    </row>
    <row r="459" spans="2:10" s="89" customFormat="1">
      <c r="B459" s="82"/>
      <c r="C459" s="149"/>
      <c r="D459" s="84"/>
      <c r="E459" s="84"/>
      <c r="F459" s="84"/>
      <c r="G459" s="84"/>
      <c r="H459" s="85"/>
      <c r="I459" s="86"/>
      <c r="J459" s="88"/>
    </row>
    <row r="460" spans="2:10" s="89" customFormat="1">
      <c r="B460" s="82"/>
      <c r="C460" s="149"/>
      <c r="D460" s="84"/>
      <c r="E460" s="84"/>
      <c r="F460" s="84"/>
      <c r="G460" s="84"/>
      <c r="H460" s="85"/>
      <c r="I460" s="86"/>
      <c r="J460" s="88"/>
    </row>
    <row r="461" spans="2:10" s="89" customFormat="1">
      <c r="B461" s="82"/>
      <c r="C461" s="149"/>
      <c r="D461" s="84"/>
      <c r="E461" s="84"/>
      <c r="F461" s="84"/>
      <c r="G461" s="84"/>
      <c r="H461" s="85"/>
      <c r="I461" s="86"/>
      <c r="J461" s="88"/>
    </row>
    <row r="462" spans="2:10" s="89" customFormat="1">
      <c r="B462" s="82"/>
      <c r="C462" s="149"/>
      <c r="D462" s="84"/>
      <c r="E462" s="84"/>
      <c r="F462" s="84"/>
      <c r="G462" s="84"/>
      <c r="H462" s="85"/>
      <c r="I462" s="86"/>
      <c r="J462" s="88"/>
    </row>
    <row r="463" spans="2:10" s="89" customFormat="1">
      <c r="B463" s="82"/>
      <c r="C463" s="149"/>
      <c r="D463" s="84"/>
      <c r="E463" s="84"/>
      <c r="F463" s="84"/>
      <c r="G463" s="84"/>
      <c r="H463" s="85"/>
      <c r="I463" s="86"/>
      <c r="J463" s="88"/>
    </row>
    <row r="464" spans="2:10" s="89" customFormat="1">
      <c r="B464" s="82"/>
      <c r="C464" s="149"/>
      <c r="D464" s="84"/>
      <c r="E464" s="84"/>
      <c r="F464" s="84"/>
      <c r="G464" s="84"/>
      <c r="H464" s="85"/>
      <c r="I464" s="86"/>
      <c r="J464" s="88"/>
    </row>
    <row r="465" spans="2:10" s="89" customFormat="1">
      <c r="B465" s="82"/>
      <c r="C465" s="149"/>
      <c r="D465" s="84"/>
      <c r="E465" s="84"/>
      <c r="F465" s="84"/>
      <c r="G465" s="84"/>
      <c r="H465" s="85"/>
      <c r="I465" s="86"/>
      <c r="J465" s="88"/>
    </row>
    <row r="466" spans="2:10" s="89" customFormat="1">
      <c r="B466" s="82"/>
      <c r="C466" s="149"/>
      <c r="D466" s="84"/>
      <c r="E466" s="84"/>
      <c r="F466" s="84"/>
      <c r="G466" s="84"/>
      <c r="H466" s="85"/>
      <c r="I466" s="86"/>
      <c r="J466" s="88"/>
    </row>
    <row r="467" spans="2:10" s="89" customFormat="1">
      <c r="B467" s="82"/>
      <c r="C467" s="149"/>
      <c r="D467" s="84"/>
      <c r="E467" s="84"/>
      <c r="F467" s="84"/>
      <c r="G467" s="84"/>
      <c r="H467" s="85"/>
      <c r="I467" s="86"/>
      <c r="J467" s="88"/>
    </row>
    <row r="468" spans="2:10" s="89" customFormat="1">
      <c r="B468" s="82"/>
      <c r="C468" s="149"/>
      <c r="D468" s="84"/>
      <c r="E468" s="84"/>
      <c r="F468" s="84"/>
      <c r="G468" s="84"/>
      <c r="H468" s="85"/>
      <c r="I468" s="86"/>
      <c r="J468" s="88"/>
    </row>
    <row r="469" spans="2:10" s="89" customFormat="1">
      <c r="B469" s="82"/>
      <c r="C469" s="149"/>
      <c r="D469" s="84"/>
      <c r="E469" s="84"/>
      <c r="F469" s="84"/>
      <c r="G469" s="84"/>
      <c r="H469" s="85"/>
      <c r="I469" s="86"/>
      <c r="J469" s="88"/>
    </row>
    <row r="470" spans="2:10" s="89" customFormat="1">
      <c r="B470" s="82"/>
      <c r="C470" s="149"/>
      <c r="D470" s="84"/>
      <c r="E470" s="84"/>
      <c r="F470" s="84"/>
      <c r="G470" s="84"/>
      <c r="H470" s="85"/>
      <c r="I470" s="86"/>
      <c r="J470" s="88"/>
    </row>
    <row r="471" spans="2:10" s="89" customFormat="1">
      <c r="B471" s="82"/>
      <c r="C471" s="149"/>
      <c r="D471" s="84"/>
      <c r="E471" s="84"/>
      <c r="F471" s="84"/>
      <c r="G471" s="84"/>
      <c r="H471" s="85"/>
      <c r="I471" s="86"/>
      <c r="J471" s="88"/>
    </row>
    <row r="472" spans="2:10" s="89" customFormat="1">
      <c r="B472" s="82"/>
      <c r="C472" s="149"/>
      <c r="D472" s="84"/>
      <c r="E472" s="84"/>
      <c r="F472" s="84"/>
      <c r="G472" s="84"/>
      <c r="H472" s="85"/>
      <c r="I472" s="86"/>
      <c r="J472" s="88"/>
    </row>
    <row r="473" spans="2:10" s="89" customFormat="1">
      <c r="B473" s="82"/>
      <c r="C473" s="149"/>
      <c r="D473" s="84"/>
      <c r="E473" s="84"/>
      <c r="F473" s="84"/>
      <c r="G473" s="84"/>
      <c r="H473" s="85"/>
      <c r="I473" s="86"/>
      <c r="J473" s="88"/>
    </row>
    <row r="474" spans="2:10" s="89" customFormat="1">
      <c r="B474" s="82"/>
      <c r="C474" s="149"/>
      <c r="D474" s="84"/>
      <c r="E474" s="84"/>
      <c r="F474" s="84"/>
      <c r="G474" s="84"/>
      <c r="H474" s="85"/>
      <c r="I474" s="86"/>
      <c r="J474" s="88"/>
    </row>
    <row r="475" spans="2:10" s="89" customFormat="1">
      <c r="B475" s="82"/>
      <c r="C475" s="149"/>
      <c r="D475" s="84"/>
      <c r="E475" s="84"/>
      <c r="F475" s="84"/>
      <c r="G475" s="84"/>
      <c r="H475" s="85"/>
      <c r="I475" s="86"/>
      <c r="J475" s="88"/>
    </row>
    <row r="476" spans="2:10" s="89" customFormat="1">
      <c r="B476" s="82"/>
      <c r="C476" s="149"/>
      <c r="D476" s="84"/>
      <c r="E476" s="84"/>
      <c r="F476" s="84"/>
      <c r="G476" s="84"/>
      <c r="H476" s="85"/>
      <c r="I476" s="86"/>
      <c r="J476" s="88"/>
    </row>
    <row r="477" spans="2:10" s="89" customFormat="1">
      <c r="B477" s="82"/>
      <c r="C477" s="149"/>
      <c r="D477" s="84"/>
      <c r="E477" s="84"/>
      <c r="F477" s="84"/>
      <c r="G477" s="84"/>
      <c r="H477" s="85"/>
      <c r="I477" s="86"/>
      <c r="J477" s="88"/>
    </row>
    <row r="478" spans="2:10" s="89" customFormat="1">
      <c r="B478" s="82"/>
      <c r="C478" s="149"/>
      <c r="D478" s="84"/>
      <c r="E478" s="84"/>
      <c r="F478" s="84"/>
      <c r="G478" s="84"/>
      <c r="H478" s="85"/>
      <c r="I478" s="86"/>
      <c r="J478" s="88"/>
    </row>
    <row r="479" spans="2:10" s="89" customFormat="1">
      <c r="B479" s="82"/>
      <c r="C479" s="149"/>
      <c r="D479" s="84"/>
      <c r="E479" s="84"/>
      <c r="F479" s="84"/>
      <c r="G479" s="84"/>
      <c r="H479" s="85"/>
      <c r="I479" s="86"/>
      <c r="J479" s="88"/>
    </row>
    <row r="480" spans="2:10" s="89" customFormat="1">
      <c r="B480" s="82"/>
      <c r="C480" s="149"/>
      <c r="D480" s="84"/>
      <c r="E480" s="84"/>
      <c r="F480" s="84"/>
      <c r="G480" s="84"/>
      <c r="H480" s="85"/>
      <c r="I480" s="86"/>
      <c r="J480" s="88"/>
    </row>
    <row r="481" spans="2:10" s="89" customFormat="1">
      <c r="B481" s="82"/>
      <c r="C481" s="149"/>
      <c r="D481" s="84"/>
      <c r="E481" s="84"/>
      <c r="F481" s="84"/>
      <c r="G481" s="84"/>
      <c r="H481" s="85"/>
      <c r="I481" s="86"/>
      <c r="J481" s="88"/>
    </row>
    <row r="482" spans="2:10" s="89" customFormat="1">
      <c r="B482" s="82"/>
      <c r="C482" s="149"/>
      <c r="D482" s="84"/>
      <c r="E482" s="84"/>
      <c r="F482" s="84"/>
      <c r="G482" s="84"/>
      <c r="H482" s="85"/>
      <c r="I482" s="86"/>
      <c r="J482" s="88"/>
    </row>
    <row r="483" spans="2:10" s="89" customFormat="1">
      <c r="B483" s="82"/>
      <c r="C483" s="149"/>
      <c r="D483" s="84"/>
      <c r="E483" s="84"/>
      <c r="F483" s="84"/>
      <c r="G483" s="84"/>
      <c r="H483" s="85"/>
      <c r="I483" s="86"/>
      <c r="J483" s="88"/>
    </row>
    <row r="484" spans="2:10" s="89" customFormat="1">
      <c r="B484" s="82"/>
      <c r="C484" s="149"/>
      <c r="D484" s="84"/>
      <c r="E484" s="84"/>
      <c r="F484" s="84"/>
      <c r="G484" s="84"/>
      <c r="H484" s="85"/>
      <c r="I484" s="86"/>
      <c r="J484" s="88"/>
    </row>
    <row r="485" spans="2:10" s="89" customFormat="1">
      <c r="B485" s="82"/>
      <c r="C485" s="149"/>
      <c r="D485" s="84"/>
      <c r="E485" s="84"/>
      <c r="F485" s="84"/>
      <c r="G485" s="84"/>
      <c r="H485" s="85"/>
      <c r="I485" s="86"/>
      <c r="J485" s="88"/>
    </row>
    <row r="486" spans="2:10" s="89" customFormat="1">
      <c r="B486" s="82"/>
      <c r="C486" s="149"/>
      <c r="D486" s="84"/>
      <c r="E486" s="84"/>
      <c r="F486" s="84"/>
      <c r="G486" s="84"/>
      <c r="H486" s="85"/>
      <c r="I486" s="86"/>
      <c r="J486" s="88"/>
    </row>
    <row r="487" spans="2:10" s="89" customFormat="1">
      <c r="B487" s="82"/>
      <c r="C487" s="149"/>
      <c r="D487" s="84"/>
      <c r="E487" s="84"/>
      <c r="F487" s="84"/>
      <c r="G487" s="84"/>
      <c r="H487" s="85"/>
      <c r="I487" s="86"/>
      <c r="J487" s="88"/>
    </row>
    <row r="488" spans="2:10" s="89" customFormat="1">
      <c r="B488" s="82"/>
      <c r="C488" s="149"/>
      <c r="D488" s="84"/>
      <c r="E488" s="84"/>
      <c r="F488" s="84"/>
      <c r="G488" s="84"/>
      <c r="H488" s="85"/>
      <c r="I488" s="86"/>
      <c r="J488" s="88"/>
    </row>
    <row r="489" spans="2:10" s="89" customFormat="1">
      <c r="B489" s="82"/>
      <c r="C489" s="149"/>
      <c r="D489" s="84"/>
      <c r="E489" s="84"/>
      <c r="F489" s="84"/>
      <c r="G489" s="84"/>
      <c r="H489" s="85"/>
      <c r="I489" s="86"/>
      <c r="J489" s="88"/>
    </row>
    <row r="490" spans="2:10" s="89" customFormat="1">
      <c r="B490" s="82"/>
      <c r="C490" s="149"/>
      <c r="D490" s="84"/>
      <c r="E490" s="84"/>
      <c r="F490" s="84"/>
      <c r="G490" s="84"/>
      <c r="H490" s="85"/>
      <c r="I490" s="86"/>
      <c r="J490" s="88"/>
    </row>
    <row r="491" spans="2:10" s="89" customFormat="1">
      <c r="B491" s="82"/>
      <c r="C491" s="149"/>
      <c r="D491" s="84"/>
      <c r="E491" s="84"/>
      <c r="F491" s="84"/>
      <c r="G491" s="84"/>
      <c r="H491" s="85"/>
      <c r="I491" s="86"/>
      <c r="J491" s="88"/>
    </row>
    <row r="492" spans="2:10" s="89" customFormat="1">
      <c r="B492" s="82"/>
      <c r="C492" s="149"/>
      <c r="D492" s="84"/>
      <c r="E492" s="84"/>
      <c r="F492" s="84"/>
      <c r="G492" s="84"/>
      <c r="H492" s="85"/>
      <c r="I492" s="86"/>
      <c r="J492" s="88"/>
    </row>
    <row r="493" spans="2:10" s="89" customFormat="1">
      <c r="B493" s="82"/>
      <c r="C493" s="149"/>
      <c r="D493" s="84"/>
      <c r="E493" s="84"/>
      <c r="F493" s="84"/>
      <c r="G493" s="84"/>
      <c r="H493" s="85"/>
      <c r="I493" s="86"/>
      <c r="J493" s="88"/>
    </row>
    <row r="494" spans="2:10" s="89" customFormat="1">
      <c r="B494" s="82"/>
      <c r="C494" s="149"/>
      <c r="D494" s="84"/>
      <c r="E494" s="84"/>
      <c r="F494" s="84"/>
      <c r="G494" s="84"/>
      <c r="H494" s="85"/>
      <c r="I494" s="86"/>
      <c r="J494" s="88"/>
    </row>
    <row r="495" spans="2:10" s="89" customFormat="1">
      <c r="B495" s="82"/>
      <c r="C495" s="149"/>
      <c r="D495" s="84"/>
      <c r="E495" s="84"/>
      <c r="F495" s="84"/>
      <c r="G495" s="84"/>
      <c r="H495" s="85"/>
      <c r="I495" s="86"/>
      <c r="J495" s="88"/>
    </row>
    <row r="496" spans="2:10" s="89" customFormat="1">
      <c r="B496" s="82"/>
      <c r="C496" s="149"/>
      <c r="D496" s="84"/>
      <c r="E496" s="84"/>
      <c r="F496" s="84"/>
      <c r="G496" s="84"/>
      <c r="H496" s="85"/>
      <c r="I496" s="86"/>
      <c r="J496" s="88"/>
    </row>
    <row r="497" spans="2:10" s="89" customFormat="1">
      <c r="B497" s="82"/>
      <c r="C497" s="149"/>
      <c r="D497" s="84"/>
      <c r="E497" s="84"/>
      <c r="F497" s="84"/>
      <c r="G497" s="84"/>
      <c r="H497" s="85"/>
      <c r="I497" s="86"/>
      <c r="J497" s="88"/>
    </row>
    <row r="498" spans="2:10" s="89" customFormat="1">
      <c r="B498" s="82"/>
      <c r="C498" s="149"/>
      <c r="D498" s="84"/>
      <c r="E498" s="84"/>
      <c r="F498" s="84"/>
      <c r="G498" s="84"/>
      <c r="H498" s="85"/>
      <c r="I498" s="86"/>
      <c r="J498" s="88"/>
    </row>
    <row r="499" spans="2:10" s="89" customFormat="1">
      <c r="B499" s="82"/>
      <c r="C499" s="149"/>
      <c r="D499" s="84"/>
      <c r="E499" s="84"/>
      <c r="F499" s="84"/>
      <c r="G499" s="84"/>
      <c r="H499" s="85"/>
      <c r="I499" s="86"/>
      <c r="J499" s="88"/>
    </row>
    <row r="500" spans="2:10" s="89" customFormat="1">
      <c r="B500" s="82"/>
      <c r="C500" s="149"/>
      <c r="D500" s="84"/>
      <c r="E500" s="84"/>
      <c r="F500" s="84"/>
      <c r="G500" s="84"/>
      <c r="H500" s="85"/>
      <c r="I500" s="86"/>
      <c r="J500" s="88"/>
    </row>
    <row r="501" spans="2:10" s="89" customFormat="1">
      <c r="B501" s="82"/>
      <c r="C501" s="149"/>
      <c r="D501" s="84"/>
      <c r="E501" s="84"/>
      <c r="F501" s="84"/>
      <c r="G501" s="84"/>
      <c r="H501" s="85"/>
      <c r="I501" s="86"/>
      <c r="J501" s="88"/>
    </row>
    <row r="502" spans="2:10" s="89" customFormat="1">
      <c r="B502" s="82"/>
      <c r="C502" s="149"/>
      <c r="D502" s="84"/>
      <c r="E502" s="84"/>
      <c r="F502" s="84"/>
      <c r="G502" s="84"/>
      <c r="H502" s="85"/>
      <c r="I502" s="86"/>
      <c r="J502" s="88"/>
    </row>
    <row r="503" spans="2:10" s="89" customFormat="1">
      <c r="B503" s="82"/>
      <c r="C503" s="149"/>
      <c r="D503" s="84"/>
      <c r="E503" s="84"/>
      <c r="F503" s="84"/>
      <c r="G503" s="84"/>
      <c r="H503" s="85"/>
      <c r="I503" s="86"/>
      <c r="J503" s="88"/>
    </row>
    <row r="504" spans="2:10" s="89" customFormat="1">
      <c r="B504" s="82"/>
      <c r="C504" s="149"/>
      <c r="D504" s="84"/>
      <c r="E504" s="84"/>
      <c r="F504" s="84"/>
      <c r="G504" s="84"/>
      <c r="H504" s="85"/>
      <c r="I504" s="86"/>
      <c r="J504" s="88"/>
    </row>
    <row r="505" spans="2:10" s="89" customFormat="1">
      <c r="B505" s="82"/>
      <c r="C505" s="149"/>
      <c r="D505" s="84"/>
      <c r="E505" s="84"/>
      <c r="F505" s="84"/>
      <c r="G505" s="84"/>
      <c r="H505" s="85"/>
      <c r="I505" s="86"/>
      <c r="J505" s="88"/>
    </row>
    <row r="506" spans="2:10" s="89" customFormat="1">
      <c r="B506" s="82"/>
      <c r="C506" s="149"/>
      <c r="D506" s="84"/>
      <c r="E506" s="84"/>
      <c r="F506" s="84"/>
      <c r="G506" s="84"/>
      <c r="H506" s="85"/>
      <c r="I506" s="86"/>
      <c r="J506" s="88"/>
    </row>
    <row r="507" spans="2:10" s="89" customFormat="1">
      <c r="B507" s="82"/>
      <c r="C507" s="149"/>
      <c r="D507" s="84"/>
      <c r="E507" s="84"/>
      <c r="F507" s="84"/>
      <c r="G507" s="84"/>
      <c r="H507" s="85"/>
      <c r="I507" s="86"/>
      <c r="J507" s="88"/>
    </row>
    <row r="508" spans="2:10" s="89" customFormat="1">
      <c r="B508" s="82"/>
      <c r="C508" s="149"/>
      <c r="D508" s="84"/>
      <c r="E508" s="84"/>
      <c r="F508" s="84"/>
      <c r="G508" s="84"/>
      <c r="H508" s="85"/>
      <c r="I508" s="86"/>
      <c r="J508" s="88"/>
    </row>
    <row r="509" spans="2:10" s="89" customFormat="1">
      <c r="B509" s="82"/>
      <c r="C509" s="149"/>
      <c r="D509" s="84"/>
      <c r="E509" s="84"/>
      <c r="F509" s="84"/>
      <c r="G509" s="84"/>
      <c r="H509" s="85"/>
      <c r="I509" s="86"/>
      <c r="J509" s="88"/>
    </row>
    <row r="510" spans="2:10" s="89" customFormat="1">
      <c r="B510" s="82"/>
      <c r="C510" s="149"/>
      <c r="D510" s="84"/>
      <c r="E510" s="84"/>
      <c r="F510" s="84"/>
      <c r="G510" s="84"/>
      <c r="H510" s="85"/>
      <c r="I510" s="86"/>
      <c r="J510" s="88"/>
    </row>
    <row r="511" spans="2:10" s="89" customFormat="1">
      <c r="B511" s="82"/>
      <c r="C511" s="149"/>
      <c r="D511" s="84"/>
      <c r="E511" s="84"/>
      <c r="F511" s="84"/>
      <c r="G511" s="84"/>
      <c r="H511" s="85"/>
      <c r="I511" s="86"/>
      <c r="J511" s="88"/>
    </row>
    <row r="512" spans="2:10" s="89" customFormat="1">
      <c r="B512" s="82"/>
      <c r="C512" s="149"/>
      <c r="D512" s="84"/>
      <c r="E512" s="84"/>
      <c r="F512" s="84"/>
      <c r="G512" s="84"/>
      <c r="H512" s="85"/>
      <c r="I512" s="86"/>
      <c r="J512" s="88"/>
    </row>
    <row r="513" spans="2:10" s="89" customFormat="1">
      <c r="B513" s="82"/>
      <c r="C513" s="149"/>
      <c r="D513" s="84"/>
      <c r="E513" s="84"/>
      <c r="F513" s="84"/>
      <c r="G513" s="84"/>
      <c r="H513" s="85"/>
      <c r="I513" s="86"/>
      <c r="J513" s="88"/>
    </row>
    <row r="514" spans="2:10" s="89" customFormat="1">
      <c r="B514" s="82"/>
      <c r="C514" s="149"/>
      <c r="D514" s="84"/>
      <c r="E514" s="84"/>
      <c r="F514" s="84"/>
      <c r="G514" s="84"/>
      <c r="H514" s="85"/>
      <c r="I514" s="86"/>
      <c r="J514" s="88"/>
    </row>
    <row r="515" spans="2:10" s="89" customFormat="1">
      <c r="B515" s="82"/>
      <c r="C515" s="149"/>
      <c r="D515" s="84"/>
      <c r="E515" s="84"/>
      <c r="F515" s="84"/>
      <c r="G515" s="84"/>
      <c r="H515" s="85"/>
      <c r="I515" s="86"/>
      <c r="J515" s="88"/>
    </row>
    <row r="516" spans="2:10" s="89" customFormat="1">
      <c r="B516" s="82"/>
      <c r="C516" s="149"/>
      <c r="D516" s="84"/>
      <c r="E516" s="84"/>
      <c r="F516" s="84"/>
      <c r="G516" s="84"/>
      <c r="H516" s="85"/>
      <c r="I516" s="86"/>
      <c r="J516" s="88"/>
    </row>
    <row r="517" spans="2:10" s="89" customFormat="1">
      <c r="B517" s="82"/>
      <c r="C517" s="149"/>
      <c r="D517" s="84"/>
      <c r="E517" s="84"/>
      <c r="F517" s="84"/>
      <c r="G517" s="84"/>
      <c r="H517" s="85"/>
      <c r="I517" s="86"/>
      <c r="J517" s="88"/>
    </row>
    <row r="518" spans="2:10" s="89" customFormat="1">
      <c r="B518" s="82"/>
      <c r="C518" s="149"/>
      <c r="D518" s="84"/>
      <c r="E518" s="84"/>
      <c r="F518" s="84"/>
      <c r="G518" s="84"/>
      <c r="H518" s="85"/>
      <c r="I518" s="86"/>
      <c r="J518" s="88"/>
    </row>
    <row r="519" spans="2:10" s="89" customFormat="1">
      <c r="B519" s="82"/>
      <c r="C519" s="149"/>
      <c r="D519" s="84"/>
      <c r="E519" s="84"/>
      <c r="F519" s="84"/>
      <c r="G519" s="84"/>
      <c r="H519" s="85"/>
      <c r="I519" s="86"/>
      <c r="J519" s="88"/>
    </row>
    <row r="520" spans="2:10" s="89" customFormat="1">
      <c r="B520" s="82"/>
      <c r="C520" s="149"/>
      <c r="D520" s="84"/>
      <c r="E520" s="84"/>
      <c r="F520" s="84"/>
      <c r="G520" s="84"/>
      <c r="H520" s="85"/>
      <c r="I520" s="86"/>
      <c r="J520" s="88"/>
    </row>
    <row r="521" spans="2:10" s="89" customFormat="1">
      <c r="B521" s="82"/>
      <c r="C521" s="149"/>
      <c r="D521" s="84"/>
      <c r="E521" s="84"/>
      <c r="F521" s="84"/>
      <c r="G521" s="84"/>
      <c r="H521" s="85"/>
      <c r="I521" s="86"/>
      <c r="J521" s="88"/>
    </row>
    <row r="522" spans="2:10" s="89" customFormat="1">
      <c r="B522" s="82"/>
      <c r="C522" s="149"/>
      <c r="D522" s="84"/>
      <c r="E522" s="84"/>
      <c r="F522" s="84"/>
      <c r="G522" s="84"/>
      <c r="H522" s="85"/>
      <c r="I522" s="86"/>
      <c r="J522" s="88"/>
    </row>
    <row r="523" spans="2:10" s="89" customFormat="1">
      <c r="B523" s="82"/>
      <c r="C523" s="149"/>
      <c r="D523" s="84"/>
      <c r="E523" s="84"/>
      <c r="F523" s="84"/>
      <c r="G523" s="84"/>
      <c r="H523" s="85"/>
      <c r="I523" s="86"/>
      <c r="J523" s="88"/>
    </row>
    <row r="524" spans="2:10" s="89" customFormat="1">
      <c r="B524" s="82"/>
      <c r="C524" s="149"/>
      <c r="D524" s="84"/>
      <c r="E524" s="84"/>
      <c r="F524" s="84"/>
      <c r="G524" s="84"/>
      <c r="H524" s="85"/>
      <c r="I524" s="86"/>
      <c r="J524" s="88"/>
    </row>
    <row r="525" spans="2:10" s="89" customFormat="1">
      <c r="B525" s="82"/>
      <c r="C525" s="149"/>
      <c r="D525" s="84"/>
      <c r="E525" s="84"/>
      <c r="F525" s="84"/>
      <c r="G525" s="84"/>
      <c r="H525" s="85"/>
      <c r="I525" s="86"/>
      <c r="J525" s="88"/>
    </row>
    <row r="526" spans="2:10" s="89" customFormat="1">
      <c r="B526" s="82"/>
      <c r="C526" s="149"/>
      <c r="D526" s="84"/>
      <c r="E526" s="84"/>
      <c r="F526" s="84"/>
      <c r="G526" s="84"/>
      <c r="H526" s="85"/>
      <c r="I526" s="86"/>
      <c r="J526" s="88"/>
    </row>
    <row r="527" spans="2:10" s="89" customFormat="1">
      <c r="B527" s="82"/>
      <c r="C527" s="149"/>
      <c r="D527" s="84"/>
      <c r="E527" s="84"/>
      <c r="F527" s="84"/>
      <c r="G527" s="84"/>
      <c r="H527" s="85"/>
      <c r="I527" s="86"/>
      <c r="J527" s="88"/>
    </row>
    <row r="528" spans="2:10" s="89" customFormat="1">
      <c r="B528" s="82"/>
      <c r="C528" s="149"/>
      <c r="D528" s="84"/>
      <c r="E528" s="84"/>
      <c r="F528" s="84"/>
      <c r="G528" s="84"/>
      <c r="H528" s="85"/>
      <c r="I528" s="86"/>
      <c r="J528" s="88"/>
    </row>
    <row r="529" spans="2:10" s="89" customFormat="1">
      <c r="B529" s="82"/>
      <c r="C529" s="149"/>
      <c r="D529" s="84"/>
      <c r="E529" s="84"/>
      <c r="F529" s="84"/>
      <c r="G529" s="84"/>
      <c r="H529" s="85"/>
      <c r="I529" s="86"/>
      <c r="J529" s="88"/>
    </row>
    <row r="530" spans="2:10" s="89" customFormat="1">
      <c r="B530" s="82"/>
      <c r="C530" s="149"/>
      <c r="D530" s="84"/>
      <c r="E530" s="84"/>
      <c r="F530" s="84"/>
      <c r="G530" s="84"/>
      <c r="H530" s="85"/>
      <c r="I530" s="86"/>
      <c r="J530" s="88"/>
    </row>
    <row r="531" spans="2:10" s="89" customFormat="1">
      <c r="B531" s="82"/>
      <c r="C531" s="149"/>
      <c r="D531" s="84"/>
      <c r="E531" s="84"/>
      <c r="F531" s="84"/>
      <c r="G531" s="84"/>
      <c r="H531" s="85"/>
      <c r="I531" s="86"/>
      <c r="J531" s="88"/>
    </row>
    <row r="532" spans="2:10" s="89" customFormat="1">
      <c r="B532" s="82"/>
      <c r="C532" s="149"/>
      <c r="D532" s="84"/>
      <c r="E532" s="84"/>
      <c r="F532" s="84"/>
      <c r="G532" s="84"/>
      <c r="H532" s="85"/>
      <c r="I532" s="86"/>
      <c r="J532" s="88"/>
    </row>
    <row r="533" spans="2:10" s="89" customFormat="1">
      <c r="B533" s="82"/>
      <c r="C533" s="149"/>
      <c r="D533" s="84"/>
      <c r="E533" s="84"/>
      <c r="F533" s="84"/>
      <c r="G533" s="84"/>
      <c r="H533" s="85"/>
      <c r="I533" s="86"/>
      <c r="J533" s="88"/>
    </row>
    <row r="534" spans="2:10" s="89" customFormat="1">
      <c r="B534" s="82"/>
      <c r="C534" s="149"/>
      <c r="D534" s="84"/>
      <c r="E534" s="84"/>
      <c r="F534" s="84"/>
      <c r="G534" s="84"/>
      <c r="H534" s="85"/>
      <c r="I534" s="86"/>
      <c r="J534" s="88"/>
    </row>
    <row r="535" spans="2:10" s="89" customFormat="1">
      <c r="B535" s="82"/>
      <c r="C535" s="149"/>
      <c r="D535" s="84"/>
      <c r="E535" s="84"/>
      <c r="F535" s="84"/>
      <c r="G535" s="84"/>
      <c r="H535" s="85"/>
      <c r="I535" s="86"/>
      <c r="J535" s="88"/>
    </row>
    <row r="536" spans="2:10" s="89" customFormat="1">
      <c r="B536" s="82"/>
      <c r="C536" s="149"/>
      <c r="D536" s="84"/>
      <c r="E536" s="84"/>
      <c r="F536" s="84"/>
      <c r="G536" s="84"/>
      <c r="H536" s="85"/>
      <c r="I536" s="86"/>
      <c r="J536" s="88"/>
    </row>
    <row r="537" spans="2:10" s="89" customFormat="1">
      <c r="B537" s="82"/>
      <c r="C537" s="149"/>
      <c r="D537" s="84"/>
      <c r="E537" s="84"/>
      <c r="F537" s="84"/>
      <c r="G537" s="84"/>
      <c r="H537" s="85"/>
      <c r="I537" s="86"/>
      <c r="J537" s="88"/>
    </row>
    <row r="538" spans="2:10" s="89" customFormat="1">
      <c r="B538" s="82"/>
      <c r="C538" s="149"/>
      <c r="D538" s="84"/>
      <c r="E538" s="84"/>
      <c r="F538" s="84"/>
      <c r="G538" s="84"/>
      <c r="H538" s="85"/>
      <c r="I538" s="86"/>
      <c r="J538" s="88"/>
    </row>
    <row r="539" spans="2:10" s="89" customFormat="1">
      <c r="B539" s="82"/>
      <c r="C539" s="149"/>
      <c r="D539" s="84"/>
      <c r="E539" s="84"/>
      <c r="F539" s="84"/>
      <c r="G539" s="84"/>
      <c r="H539" s="85"/>
      <c r="I539" s="86"/>
      <c r="J539" s="88"/>
    </row>
    <row r="540" spans="2:10" s="89" customFormat="1">
      <c r="B540" s="82"/>
      <c r="C540" s="149"/>
      <c r="D540" s="84"/>
      <c r="E540" s="84"/>
      <c r="F540" s="84"/>
      <c r="G540" s="84"/>
      <c r="H540" s="85"/>
      <c r="I540" s="86"/>
      <c r="J540" s="88"/>
    </row>
    <row r="541" spans="2:10" s="89" customFormat="1">
      <c r="B541" s="82"/>
      <c r="C541" s="149"/>
      <c r="D541" s="84"/>
      <c r="E541" s="84"/>
      <c r="F541" s="84"/>
      <c r="G541" s="84"/>
      <c r="H541" s="85"/>
      <c r="I541" s="86"/>
      <c r="J541" s="88"/>
    </row>
    <row r="542" spans="2:10" s="89" customFormat="1">
      <c r="B542" s="82"/>
      <c r="C542" s="149"/>
      <c r="D542" s="84"/>
      <c r="E542" s="84"/>
      <c r="F542" s="84"/>
      <c r="G542" s="84"/>
      <c r="H542" s="85"/>
      <c r="I542" s="86"/>
      <c r="J542" s="88"/>
    </row>
    <row r="543" spans="2:10" s="89" customFormat="1">
      <c r="B543" s="82"/>
      <c r="C543" s="149"/>
      <c r="D543" s="84"/>
      <c r="E543" s="84"/>
      <c r="F543" s="84"/>
      <c r="G543" s="84"/>
      <c r="H543" s="85"/>
      <c r="I543" s="86"/>
      <c r="J543" s="88"/>
    </row>
    <row r="544" spans="2:10" s="89" customFormat="1">
      <c r="B544" s="82"/>
      <c r="C544" s="149"/>
      <c r="D544" s="84"/>
      <c r="E544" s="84"/>
      <c r="F544" s="84"/>
      <c r="G544" s="84"/>
      <c r="H544" s="85"/>
      <c r="I544" s="86"/>
      <c r="J544" s="88"/>
    </row>
    <row r="545" spans="2:10" s="89" customFormat="1">
      <c r="B545" s="82"/>
      <c r="C545" s="149"/>
      <c r="D545" s="84"/>
      <c r="E545" s="84"/>
      <c r="F545" s="84"/>
      <c r="G545" s="84"/>
      <c r="H545" s="85"/>
      <c r="I545" s="86"/>
      <c r="J545" s="88"/>
    </row>
    <row r="546" spans="2:10" s="89" customFormat="1">
      <c r="B546" s="82"/>
      <c r="C546" s="149"/>
      <c r="D546" s="84"/>
      <c r="E546" s="84"/>
      <c r="F546" s="84"/>
      <c r="G546" s="84"/>
      <c r="H546" s="85"/>
      <c r="I546" s="86"/>
      <c r="J546" s="88"/>
    </row>
    <row r="547" spans="2:10" s="89" customFormat="1">
      <c r="B547" s="82"/>
      <c r="C547" s="149"/>
      <c r="D547" s="84"/>
      <c r="E547" s="84"/>
      <c r="F547" s="84"/>
      <c r="G547" s="84"/>
      <c r="H547" s="85"/>
      <c r="I547" s="86"/>
      <c r="J547" s="88"/>
    </row>
    <row r="548" spans="2:10" s="89" customFormat="1">
      <c r="B548" s="82"/>
      <c r="C548" s="149"/>
      <c r="D548" s="84"/>
      <c r="E548" s="84"/>
      <c r="F548" s="84"/>
      <c r="G548" s="84"/>
      <c r="H548" s="85"/>
      <c r="I548" s="86"/>
      <c r="J548" s="88"/>
    </row>
    <row r="549" spans="2:10" s="89" customFormat="1">
      <c r="B549" s="82"/>
      <c r="C549" s="149"/>
      <c r="D549" s="84"/>
      <c r="E549" s="84"/>
      <c r="F549" s="84"/>
      <c r="G549" s="84"/>
      <c r="H549" s="85"/>
      <c r="I549" s="86"/>
      <c r="J549" s="88"/>
    </row>
    <row r="550" spans="2:10" s="89" customFormat="1">
      <c r="B550" s="82"/>
      <c r="C550" s="149"/>
      <c r="D550" s="84"/>
      <c r="E550" s="84"/>
      <c r="F550" s="84"/>
      <c r="G550" s="84"/>
      <c r="H550" s="85"/>
      <c r="I550" s="86"/>
      <c r="J550" s="88"/>
    </row>
    <row r="551" spans="2:10" s="89" customFormat="1">
      <c r="B551" s="82"/>
      <c r="C551" s="149"/>
      <c r="D551" s="84"/>
      <c r="E551" s="84"/>
      <c r="F551" s="84"/>
      <c r="G551" s="84"/>
      <c r="H551" s="85"/>
      <c r="I551" s="86"/>
      <c r="J551" s="88"/>
    </row>
    <row r="552" spans="2:10" s="89" customFormat="1">
      <c r="B552" s="82"/>
      <c r="C552" s="149"/>
      <c r="D552" s="84"/>
      <c r="E552" s="84"/>
      <c r="F552" s="84"/>
      <c r="G552" s="84"/>
      <c r="H552" s="85"/>
      <c r="I552" s="86"/>
      <c r="J552" s="88"/>
    </row>
    <row r="553" spans="2:10" s="89" customFormat="1">
      <c r="B553" s="82"/>
      <c r="C553" s="149"/>
      <c r="D553" s="84"/>
      <c r="E553" s="84"/>
      <c r="F553" s="84"/>
      <c r="G553" s="84"/>
      <c r="H553" s="85"/>
      <c r="I553" s="86"/>
      <c r="J553" s="88"/>
    </row>
    <row r="554" spans="2:10" s="89" customFormat="1">
      <c r="B554" s="82"/>
      <c r="C554" s="149"/>
      <c r="D554" s="84"/>
      <c r="E554" s="84"/>
      <c r="F554" s="84"/>
      <c r="G554" s="84"/>
      <c r="H554" s="85"/>
      <c r="I554" s="86"/>
      <c r="J554" s="88"/>
    </row>
    <row r="555" spans="2:10" s="89" customFormat="1">
      <c r="B555" s="82"/>
      <c r="C555" s="149"/>
      <c r="D555" s="84"/>
      <c r="E555" s="84"/>
      <c r="F555" s="84"/>
      <c r="G555" s="84"/>
      <c r="H555" s="85"/>
      <c r="I555" s="86"/>
      <c r="J555" s="88"/>
    </row>
    <row r="556" spans="2:10" s="89" customFormat="1">
      <c r="B556" s="82"/>
      <c r="C556" s="149"/>
      <c r="D556" s="84"/>
      <c r="E556" s="84"/>
      <c r="F556" s="84"/>
      <c r="G556" s="84"/>
      <c r="H556" s="85"/>
      <c r="I556" s="86"/>
      <c r="J556" s="88"/>
    </row>
    <row r="557" spans="2:10" s="89" customFormat="1">
      <c r="B557" s="82"/>
      <c r="C557" s="149"/>
      <c r="D557" s="84"/>
      <c r="E557" s="84"/>
      <c r="F557" s="84"/>
      <c r="G557" s="84"/>
      <c r="H557" s="85"/>
      <c r="I557" s="86"/>
      <c r="J557" s="88"/>
    </row>
    <row r="558" spans="2:10" s="89" customFormat="1">
      <c r="B558" s="82"/>
      <c r="C558" s="149"/>
      <c r="D558" s="84"/>
      <c r="E558" s="84"/>
      <c r="F558" s="84"/>
      <c r="G558" s="84"/>
      <c r="H558" s="85"/>
      <c r="I558" s="86"/>
      <c r="J558" s="88"/>
    </row>
    <row r="559" spans="2:10" s="89" customFormat="1">
      <c r="B559" s="82"/>
      <c r="C559" s="149"/>
      <c r="D559" s="84"/>
      <c r="E559" s="84"/>
      <c r="F559" s="84"/>
      <c r="G559" s="84"/>
      <c r="H559" s="85"/>
      <c r="I559" s="86"/>
      <c r="J559" s="88"/>
    </row>
    <row r="560" spans="2:10" s="89" customFormat="1">
      <c r="B560" s="82"/>
      <c r="C560" s="149"/>
      <c r="D560" s="84"/>
      <c r="E560" s="84"/>
      <c r="F560" s="84"/>
      <c r="G560" s="84"/>
      <c r="H560" s="85"/>
      <c r="I560" s="86"/>
      <c r="J560" s="88"/>
    </row>
    <row r="561" spans="2:10" s="89" customFormat="1">
      <c r="B561" s="82"/>
      <c r="C561" s="149"/>
      <c r="D561" s="84"/>
      <c r="E561" s="84"/>
      <c r="F561" s="84"/>
      <c r="G561" s="84"/>
      <c r="H561" s="85"/>
      <c r="I561" s="86"/>
      <c r="J561" s="88"/>
    </row>
    <row r="562" spans="2:10" s="89" customFormat="1">
      <c r="B562" s="82"/>
      <c r="C562" s="149"/>
      <c r="D562" s="84"/>
      <c r="E562" s="84"/>
      <c r="F562" s="84"/>
      <c r="G562" s="84"/>
      <c r="H562" s="85"/>
      <c r="I562" s="86"/>
      <c r="J562" s="88"/>
    </row>
    <row r="563" spans="2:10" s="89" customFormat="1">
      <c r="B563" s="82"/>
      <c r="C563" s="149"/>
      <c r="D563" s="84"/>
      <c r="E563" s="84"/>
      <c r="F563" s="84"/>
      <c r="G563" s="84"/>
      <c r="H563" s="85"/>
      <c r="I563" s="86"/>
      <c r="J563" s="88"/>
    </row>
    <row r="564" spans="2:10" s="89" customFormat="1">
      <c r="B564" s="82"/>
      <c r="C564" s="149"/>
      <c r="D564" s="84"/>
      <c r="E564" s="84"/>
      <c r="F564" s="84"/>
      <c r="G564" s="84"/>
      <c r="H564" s="85"/>
      <c r="I564" s="86"/>
      <c r="J564" s="88"/>
    </row>
    <row r="565" spans="2:10" s="89" customFormat="1">
      <c r="B565" s="82"/>
      <c r="C565" s="149"/>
      <c r="D565" s="84"/>
      <c r="E565" s="84"/>
      <c r="F565" s="84"/>
      <c r="G565" s="84"/>
      <c r="H565" s="85"/>
      <c r="I565" s="86"/>
      <c r="J565" s="88"/>
    </row>
    <row r="566" spans="2:10" s="89" customFormat="1">
      <c r="B566" s="82"/>
      <c r="C566" s="149"/>
      <c r="D566" s="84"/>
      <c r="E566" s="84"/>
      <c r="F566" s="84"/>
      <c r="G566" s="84"/>
      <c r="H566" s="85"/>
      <c r="I566" s="86"/>
      <c r="J566" s="88"/>
    </row>
    <row r="567" spans="2:10" s="89" customFormat="1">
      <c r="B567" s="82"/>
      <c r="C567" s="149"/>
      <c r="D567" s="84"/>
      <c r="E567" s="84"/>
      <c r="F567" s="84"/>
      <c r="G567" s="84"/>
      <c r="H567" s="85"/>
      <c r="I567" s="86"/>
      <c r="J567" s="88"/>
    </row>
    <row r="568" spans="2:10" s="89" customFormat="1">
      <c r="B568" s="82"/>
      <c r="C568" s="149"/>
      <c r="D568" s="84"/>
      <c r="E568" s="84"/>
      <c r="F568" s="84"/>
      <c r="G568" s="84"/>
      <c r="H568" s="85"/>
      <c r="I568" s="86"/>
      <c r="J568" s="88"/>
    </row>
    <row r="569" spans="2:10" s="89" customFormat="1">
      <c r="B569" s="82"/>
      <c r="C569" s="149"/>
      <c r="D569" s="84"/>
      <c r="E569" s="84"/>
      <c r="F569" s="84"/>
      <c r="G569" s="84"/>
      <c r="H569" s="85"/>
      <c r="I569" s="86"/>
      <c r="J569" s="88"/>
    </row>
    <row r="570" spans="2:10" s="89" customFormat="1">
      <c r="B570" s="82"/>
      <c r="C570" s="149"/>
      <c r="D570" s="84"/>
      <c r="E570" s="84"/>
      <c r="F570" s="84"/>
      <c r="G570" s="84"/>
      <c r="H570" s="85"/>
      <c r="I570" s="86"/>
      <c r="J570" s="88"/>
    </row>
    <row r="571" spans="2:10" s="89" customFormat="1">
      <c r="B571" s="82"/>
      <c r="C571" s="149"/>
      <c r="D571" s="84"/>
      <c r="E571" s="84"/>
      <c r="F571" s="84"/>
      <c r="G571" s="84"/>
      <c r="H571" s="85"/>
      <c r="I571" s="86"/>
      <c r="J571" s="88"/>
    </row>
    <row r="572" spans="2:10" s="89" customFormat="1">
      <c r="B572" s="82"/>
      <c r="C572" s="149"/>
      <c r="D572" s="84"/>
      <c r="E572" s="84"/>
      <c r="F572" s="84"/>
      <c r="G572" s="84"/>
      <c r="H572" s="85"/>
      <c r="I572" s="86"/>
      <c r="J572" s="88"/>
    </row>
    <row r="573" spans="2:10" s="89" customFormat="1">
      <c r="B573" s="82"/>
      <c r="C573" s="149"/>
      <c r="D573" s="84"/>
      <c r="E573" s="84"/>
      <c r="F573" s="84"/>
      <c r="G573" s="84"/>
      <c r="H573" s="85"/>
      <c r="I573" s="86"/>
      <c r="J573" s="88"/>
    </row>
    <row r="574" spans="2:10" s="89" customFormat="1">
      <c r="B574" s="82"/>
      <c r="C574" s="149"/>
      <c r="D574" s="84"/>
      <c r="E574" s="84"/>
      <c r="F574" s="84"/>
      <c r="G574" s="84"/>
      <c r="H574" s="85"/>
      <c r="I574" s="86"/>
      <c r="J574" s="88"/>
    </row>
    <row r="575" spans="2:10" s="89" customFormat="1">
      <c r="B575" s="82"/>
      <c r="C575" s="149"/>
      <c r="D575" s="84"/>
      <c r="E575" s="84"/>
      <c r="F575" s="84"/>
      <c r="G575" s="84"/>
      <c r="H575" s="85"/>
      <c r="I575" s="86"/>
      <c r="J575" s="88"/>
    </row>
    <row r="576" spans="2:10" s="89" customFormat="1">
      <c r="B576" s="82"/>
      <c r="C576" s="149"/>
      <c r="D576" s="84"/>
      <c r="E576" s="84"/>
      <c r="F576" s="84"/>
      <c r="G576" s="84"/>
      <c r="H576" s="85"/>
      <c r="I576" s="86"/>
      <c r="J576" s="88"/>
    </row>
    <row r="577" spans="2:10" s="89" customFormat="1">
      <c r="B577" s="82"/>
      <c r="C577" s="149"/>
      <c r="D577" s="84"/>
      <c r="E577" s="84"/>
      <c r="F577" s="84"/>
      <c r="G577" s="84"/>
      <c r="H577" s="85"/>
      <c r="I577" s="86"/>
      <c r="J577" s="88"/>
    </row>
    <row r="578" spans="2:10" s="89" customFormat="1">
      <c r="B578" s="82"/>
      <c r="C578" s="149"/>
      <c r="D578" s="84"/>
      <c r="E578" s="84"/>
      <c r="F578" s="84"/>
      <c r="G578" s="84"/>
      <c r="H578" s="85"/>
      <c r="I578" s="86"/>
      <c r="J578" s="88"/>
    </row>
    <row r="579" spans="2:10" s="89" customFormat="1">
      <c r="B579" s="82"/>
      <c r="C579" s="149"/>
      <c r="D579" s="84"/>
      <c r="E579" s="84"/>
      <c r="F579" s="84"/>
      <c r="G579" s="84"/>
      <c r="H579" s="85"/>
      <c r="I579" s="86"/>
      <c r="J579" s="88"/>
    </row>
    <row r="580" spans="2:10" s="89" customFormat="1">
      <c r="B580" s="82"/>
      <c r="C580" s="149"/>
      <c r="D580" s="84"/>
      <c r="E580" s="84"/>
      <c r="F580" s="84"/>
      <c r="G580" s="84"/>
      <c r="H580" s="85"/>
      <c r="I580" s="86"/>
      <c r="J580" s="88"/>
    </row>
    <row r="581" spans="2:10" s="89" customFormat="1">
      <c r="B581" s="82"/>
      <c r="C581" s="149"/>
      <c r="D581" s="84"/>
      <c r="E581" s="84"/>
      <c r="F581" s="84"/>
      <c r="G581" s="84"/>
      <c r="H581" s="85"/>
      <c r="I581" s="86"/>
      <c r="J581" s="88"/>
    </row>
    <row r="582" spans="2:10" s="89" customFormat="1">
      <c r="B582" s="82"/>
      <c r="C582" s="149"/>
      <c r="D582" s="84"/>
      <c r="E582" s="84"/>
      <c r="F582" s="84"/>
      <c r="G582" s="84"/>
      <c r="H582" s="85"/>
      <c r="I582" s="86"/>
      <c r="J582" s="88"/>
    </row>
    <row r="583" spans="2:10" s="89" customFormat="1">
      <c r="B583" s="82"/>
      <c r="C583" s="149"/>
      <c r="D583" s="84"/>
      <c r="E583" s="84"/>
      <c r="F583" s="84"/>
      <c r="G583" s="84"/>
      <c r="H583" s="85"/>
      <c r="I583" s="86"/>
      <c r="J583" s="88"/>
    </row>
    <row r="584" spans="2:10" s="89" customFormat="1">
      <c r="B584" s="82"/>
      <c r="C584" s="149"/>
      <c r="D584" s="84"/>
      <c r="E584" s="84"/>
      <c r="F584" s="84"/>
      <c r="G584" s="84"/>
      <c r="H584" s="85"/>
      <c r="I584" s="86"/>
      <c r="J584" s="88"/>
    </row>
    <row r="585" spans="2:10" s="89" customFormat="1">
      <c r="B585" s="82"/>
      <c r="C585" s="149"/>
      <c r="D585" s="84"/>
      <c r="E585" s="84"/>
      <c r="F585" s="84"/>
      <c r="G585" s="84"/>
      <c r="H585" s="85"/>
      <c r="I585" s="86"/>
      <c r="J585" s="88"/>
    </row>
    <row r="586" spans="2:10" s="89" customFormat="1">
      <c r="B586" s="82"/>
      <c r="C586" s="149"/>
      <c r="D586" s="84"/>
      <c r="E586" s="84"/>
      <c r="F586" s="84"/>
      <c r="G586" s="84"/>
      <c r="H586" s="85"/>
      <c r="I586" s="86"/>
      <c r="J586" s="88"/>
    </row>
    <row r="587" spans="2:10" s="89" customFormat="1">
      <c r="B587" s="82"/>
      <c r="C587" s="149"/>
      <c r="D587" s="84"/>
      <c r="E587" s="84"/>
      <c r="F587" s="84"/>
      <c r="G587" s="84"/>
      <c r="H587" s="85"/>
      <c r="I587" s="86"/>
      <c r="J587" s="88"/>
    </row>
    <row r="588" spans="2:10" s="89" customFormat="1">
      <c r="B588" s="82"/>
      <c r="C588" s="149"/>
      <c r="D588" s="84"/>
      <c r="E588" s="84"/>
      <c r="F588" s="84"/>
      <c r="G588" s="84"/>
      <c r="H588" s="85"/>
      <c r="I588" s="86"/>
      <c r="J588" s="88"/>
    </row>
    <row r="589" spans="2:10" s="89" customFormat="1">
      <c r="B589" s="82"/>
      <c r="C589" s="149"/>
      <c r="D589" s="84"/>
      <c r="E589" s="84"/>
      <c r="F589" s="84"/>
      <c r="G589" s="84"/>
      <c r="H589" s="85"/>
      <c r="I589" s="86"/>
      <c r="J589" s="88"/>
    </row>
    <row r="590" spans="2:10" s="89" customFormat="1">
      <c r="B590" s="82"/>
      <c r="C590" s="149"/>
      <c r="D590" s="84"/>
      <c r="E590" s="84"/>
      <c r="F590" s="84"/>
      <c r="G590" s="84"/>
      <c r="H590" s="85"/>
      <c r="I590" s="86"/>
      <c r="J590" s="88"/>
    </row>
    <row r="591" spans="2:10" s="89" customFormat="1">
      <c r="B591" s="82"/>
      <c r="C591" s="149"/>
      <c r="D591" s="84"/>
      <c r="E591" s="84"/>
      <c r="F591" s="84"/>
      <c r="G591" s="84"/>
      <c r="H591" s="85"/>
      <c r="I591" s="86"/>
      <c r="J591" s="88"/>
    </row>
    <row r="592" spans="2:10" s="89" customFormat="1">
      <c r="B592" s="82"/>
      <c r="C592" s="149"/>
      <c r="D592" s="84"/>
      <c r="E592" s="84"/>
      <c r="F592" s="84"/>
      <c r="G592" s="84"/>
      <c r="H592" s="85"/>
      <c r="I592" s="86"/>
      <c r="J592" s="88"/>
    </row>
    <row r="593" spans="2:10" s="89" customFormat="1">
      <c r="B593" s="82"/>
      <c r="C593" s="149"/>
      <c r="D593" s="84"/>
      <c r="E593" s="84"/>
      <c r="F593" s="84"/>
      <c r="G593" s="84"/>
      <c r="H593" s="85"/>
      <c r="I593" s="86"/>
      <c r="J593" s="88"/>
    </row>
    <row r="594" spans="2:10" s="89" customFormat="1">
      <c r="B594" s="82"/>
      <c r="C594" s="149"/>
      <c r="D594" s="84"/>
      <c r="E594" s="84"/>
      <c r="F594" s="84"/>
      <c r="G594" s="84"/>
      <c r="H594" s="85"/>
      <c r="I594" s="86"/>
      <c r="J594" s="88"/>
    </row>
    <row r="595" spans="2:10" s="89" customFormat="1">
      <c r="B595" s="82"/>
      <c r="C595" s="149"/>
      <c r="D595" s="84"/>
      <c r="E595" s="84"/>
      <c r="F595" s="84"/>
      <c r="G595" s="84"/>
      <c r="H595" s="85"/>
      <c r="I595" s="86"/>
      <c r="J595" s="88"/>
    </row>
    <row r="596" spans="2:10" s="89" customFormat="1">
      <c r="B596" s="82"/>
      <c r="C596" s="149"/>
      <c r="D596" s="84"/>
      <c r="E596" s="84"/>
      <c r="F596" s="84"/>
      <c r="G596" s="84"/>
      <c r="H596" s="85"/>
      <c r="I596" s="86"/>
      <c r="J596" s="88"/>
    </row>
    <row r="597" spans="2:10" s="89" customFormat="1">
      <c r="B597" s="82"/>
      <c r="C597" s="149"/>
      <c r="D597" s="84"/>
      <c r="E597" s="84"/>
      <c r="F597" s="84"/>
      <c r="G597" s="84"/>
      <c r="H597" s="85"/>
      <c r="I597" s="86"/>
      <c r="J597" s="88"/>
    </row>
    <row r="598" spans="2:10" s="89" customFormat="1">
      <c r="B598" s="82"/>
      <c r="C598" s="149"/>
      <c r="D598" s="84"/>
      <c r="E598" s="84"/>
      <c r="F598" s="84"/>
      <c r="G598" s="84"/>
      <c r="H598" s="85"/>
      <c r="I598" s="86"/>
      <c r="J598" s="88"/>
    </row>
    <row r="599" spans="2:10" s="89" customFormat="1">
      <c r="B599" s="82"/>
      <c r="C599" s="149"/>
      <c r="D599" s="84"/>
      <c r="E599" s="84"/>
      <c r="F599" s="84"/>
      <c r="G599" s="84"/>
      <c r="H599" s="85"/>
      <c r="I599" s="86"/>
      <c r="J599" s="88"/>
    </row>
    <row r="600" spans="2:10" s="89" customFormat="1">
      <c r="B600" s="82"/>
      <c r="C600" s="149"/>
      <c r="D600" s="84"/>
      <c r="E600" s="84"/>
      <c r="F600" s="84"/>
      <c r="G600" s="84"/>
      <c r="H600" s="85"/>
      <c r="I600" s="86"/>
      <c r="J600" s="88"/>
    </row>
    <row r="601" spans="2:10" s="89" customFormat="1">
      <c r="B601" s="82"/>
      <c r="C601" s="149"/>
      <c r="D601" s="84"/>
      <c r="E601" s="84"/>
      <c r="F601" s="84"/>
      <c r="G601" s="84"/>
      <c r="H601" s="85"/>
      <c r="I601" s="86"/>
      <c r="J601" s="88"/>
    </row>
    <row r="602" spans="2:10" s="89" customFormat="1">
      <c r="B602" s="82"/>
      <c r="C602" s="149"/>
      <c r="D602" s="84"/>
      <c r="E602" s="84"/>
      <c r="F602" s="84"/>
      <c r="G602" s="84"/>
      <c r="H602" s="85"/>
      <c r="I602" s="86"/>
      <c r="J602" s="88"/>
    </row>
    <row r="603" spans="2:10" s="89" customFormat="1">
      <c r="B603" s="82"/>
      <c r="C603" s="149"/>
      <c r="D603" s="84"/>
      <c r="E603" s="84"/>
      <c r="F603" s="84"/>
      <c r="G603" s="84"/>
      <c r="H603" s="85"/>
      <c r="I603" s="86"/>
      <c r="J603" s="88"/>
    </row>
    <row r="604" spans="2:10" s="89" customFormat="1">
      <c r="B604" s="82"/>
      <c r="C604" s="149"/>
      <c r="D604" s="84"/>
      <c r="E604" s="84"/>
      <c r="F604" s="84"/>
      <c r="G604" s="84"/>
      <c r="H604" s="85"/>
      <c r="I604" s="86"/>
      <c r="J604" s="88"/>
    </row>
    <row r="605" spans="2:10" s="89" customFormat="1">
      <c r="B605" s="82"/>
      <c r="C605" s="149"/>
      <c r="D605" s="84"/>
      <c r="E605" s="84"/>
      <c r="F605" s="84"/>
      <c r="G605" s="84"/>
      <c r="H605" s="85"/>
      <c r="I605" s="86"/>
      <c r="J605" s="88"/>
    </row>
    <row r="606" spans="2:10" s="89" customFormat="1">
      <c r="B606" s="82"/>
      <c r="C606" s="149"/>
      <c r="D606" s="84"/>
      <c r="E606" s="84"/>
      <c r="F606" s="84"/>
      <c r="G606" s="84"/>
      <c r="H606" s="85"/>
      <c r="I606" s="86"/>
      <c r="J606" s="88"/>
    </row>
    <row r="607" spans="2:10" s="89" customFormat="1">
      <c r="B607" s="82"/>
      <c r="C607" s="149"/>
      <c r="D607" s="84"/>
      <c r="E607" s="84"/>
      <c r="F607" s="84"/>
      <c r="G607" s="84"/>
      <c r="H607" s="85"/>
      <c r="I607" s="86"/>
      <c r="J607" s="88"/>
    </row>
    <row r="608" spans="2:10" s="89" customFormat="1">
      <c r="B608" s="82"/>
      <c r="C608" s="149"/>
      <c r="D608" s="84"/>
      <c r="E608" s="84"/>
      <c r="F608" s="84"/>
      <c r="G608" s="84"/>
      <c r="H608" s="85"/>
      <c r="I608" s="86"/>
      <c r="J608" s="88"/>
    </row>
    <row r="609" spans="2:10" s="89" customFormat="1">
      <c r="B609" s="82"/>
      <c r="C609" s="149"/>
      <c r="D609" s="84"/>
      <c r="E609" s="84"/>
      <c r="F609" s="84"/>
      <c r="G609" s="84"/>
      <c r="H609" s="85"/>
      <c r="I609" s="86"/>
      <c r="J609" s="88"/>
    </row>
    <row r="610" spans="2:10" s="89" customFormat="1">
      <c r="B610" s="82"/>
      <c r="C610" s="149"/>
      <c r="D610" s="84"/>
      <c r="E610" s="84"/>
      <c r="F610" s="84"/>
      <c r="G610" s="84"/>
      <c r="H610" s="85"/>
      <c r="I610" s="86"/>
      <c r="J610" s="88"/>
    </row>
    <row r="611" spans="2:10" s="89" customFormat="1">
      <c r="B611" s="82"/>
      <c r="C611" s="149"/>
      <c r="D611" s="84"/>
      <c r="E611" s="84"/>
      <c r="F611" s="84"/>
      <c r="G611" s="84"/>
      <c r="H611" s="85"/>
      <c r="I611" s="86"/>
      <c r="J611" s="88"/>
    </row>
    <row r="612" spans="2:10" s="89" customFormat="1">
      <c r="B612" s="82"/>
      <c r="C612" s="149"/>
      <c r="D612" s="84"/>
      <c r="E612" s="84"/>
      <c r="F612" s="84"/>
      <c r="G612" s="84"/>
      <c r="H612" s="85"/>
      <c r="I612" s="86"/>
      <c r="J612" s="88"/>
    </row>
    <row r="613" spans="2:10" s="89" customFormat="1">
      <c r="B613" s="82"/>
      <c r="C613" s="149"/>
      <c r="D613" s="84"/>
      <c r="E613" s="84"/>
      <c r="F613" s="84"/>
      <c r="G613" s="84"/>
      <c r="H613" s="85"/>
      <c r="I613" s="86"/>
      <c r="J613" s="88"/>
    </row>
    <row r="614" spans="2:10" s="89" customFormat="1">
      <c r="B614" s="82"/>
      <c r="C614" s="149"/>
      <c r="D614" s="84"/>
      <c r="E614" s="84"/>
      <c r="F614" s="84"/>
      <c r="G614" s="84"/>
      <c r="H614" s="85"/>
      <c r="I614" s="86"/>
      <c r="J614" s="88"/>
    </row>
    <row r="615" spans="2:10" s="89" customFormat="1">
      <c r="B615" s="82"/>
      <c r="C615" s="149"/>
      <c r="D615" s="84"/>
      <c r="E615" s="84"/>
      <c r="F615" s="84"/>
      <c r="G615" s="84"/>
      <c r="H615" s="85"/>
      <c r="I615" s="86"/>
      <c r="J615" s="88"/>
    </row>
    <row r="616" spans="2:10" s="89" customFormat="1">
      <c r="B616" s="82"/>
      <c r="C616" s="149"/>
      <c r="D616" s="84"/>
      <c r="E616" s="84"/>
      <c r="F616" s="84"/>
      <c r="G616" s="84"/>
      <c r="H616" s="85"/>
      <c r="I616" s="86"/>
      <c r="J616" s="88"/>
    </row>
    <row r="617" spans="2:10" s="89" customFormat="1">
      <c r="B617" s="82"/>
      <c r="C617" s="149"/>
      <c r="D617" s="84"/>
      <c r="E617" s="84"/>
      <c r="F617" s="84"/>
      <c r="G617" s="84"/>
      <c r="H617" s="85"/>
      <c r="I617" s="86"/>
      <c r="J617" s="88"/>
    </row>
    <row r="618" spans="2:10" s="89" customFormat="1">
      <c r="B618" s="82"/>
      <c r="C618" s="149"/>
      <c r="D618" s="84"/>
      <c r="E618" s="84"/>
      <c r="F618" s="84"/>
      <c r="G618" s="84"/>
      <c r="H618" s="85"/>
      <c r="I618" s="86"/>
      <c r="J618" s="88"/>
    </row>
    <row r="619" spans="2:10" s="89" customFormat="1">
      <c r="B619" s="82"/>
      <c r="C619" s="149"/>
      <c r="D619" s="84"/>
      <c r="E619" s="84"/>
      <c r="F619" s="84"/>
      <c r="G619" s="84"/>
      <c r="H619" s="85"/>
      <c r="I619" s="86"/>
      <c r="J619" s="88"/>
    </row>
    <row r="620" spans="2:10" s="89" customFormat="1">
      <c r="B620" s="82"/>
      <c r="C620" s="149"/>
      <c r="D620" s="84"/>
      <c r="E620" s="84"/>
      <c r="F620" s="84"/>
      <c r="G620" s="84"/>
      <c r="H620" s="85"/>
      <c r="I620" s="86"/>
      <c r="J620" s="88"/>
    </row>
    <row r="621" spans="2:10" s="89" customFormat="1">
      <c r="B621" s="82"/>
      <c r="C621" s="149"/>
      <c r="D621" s="84"/>
      <c r="E621" s="84"/>
      <c r="F621" s="84"/>
      <c r="G621" s="84"/>
      <c r="H621" s="85"/>
      <c r="I621" s="86"/>
      <c r="J621" s="88"/>
    </row>
    <row r="622" spans="2:10" s="89" customFormat="1">
      <c r="B622" s="82"/>
      <c r="C622" s="149"/>
      <c r="D622" s="84"/>
      <c r="E622" s="84"/>
      <c r="F622" s="84"/>
      <c r="G622" s="84"/>
      <c r="H622" s="85"/>
      <c r="I622" s="86"/>
      <c r="J622" s="88"/>
    </row>
    <row r="623" spans="2:10" s="89" customFormat="1">
      <c r="B623" s="82"/>
      <c r="C623" s="149"/>
      <c r="D623" s="84"/>
      <c r="E623" s="84"/>
      <c r="F623" s="84"/>
      <c r="G623" s="84"/>
      <c r="H623" s="85"/>
      <c r="I623" s="86"/>
      <c r="J623" s="88"/>
    </row>
    <row r="624" spans="2:10" s="89" customFormat="1">
      <c r="B624" s="82"/>
      <c r="C624" s="149"/>
      <c r="D624" s="84"/>
      <c r="E624" s="84"/>
      <c r="F624" s="84"/>
      <c r="G624" s="84"/>
      <c r="H624" s="85"/>
      <c r="I624" s="86"/>
      <c r="J624" s="88"/>
    </row>
    <row r="625" spans="2:10" s="89" customFormat="1">
      <c r="B625" s="82"/>
      <c r="C625" s="149"/>
      <c r="D625" s="84"/>
      <c r="E625" s="84"/>
      <c r="F625" s="84"/>
      <c r="G625" s="84"/>
      <c r="H625" s="85"/>
      <c r="I625" s="86"/>
      <c r="J625" s="88"/>
    </row>
    <row r="626" spans="2:10" s="89" customFormat="1">
      <c r="B626" s="82"/>
      <c r="C626" s="149"/>
      <c r="D626" s="84"/>
      <c r="E626" s="84"/>
      <c r="F626" s="84"/>
      <c r="G626" s="84"/>
      <c r="H626" s="85"/>
      <c r="I626" s="86"/>
      <c r="J626" s="88"/>
    </row>
    <row r="627" spans="2:10" s="89" customFormat="1">
      <c r="B627" s="82"/>
      <c r="C627" s="149"/>
      <c r="D627" s="84"/>
      <c r="E627" s="84"/>
      <c r="F627" s="84"/>
      <c r="G627" s="84"/>
      <c r="H627" s="85"/>
      <c r="I627" s="86"/>
      <c r="J627" s="88"/>
    </row>
    <row r="628" spans="2:10" s="89" customFormat="1">
      <c r="B628" s="82"/>
      <c r="C628" s="149"/>
      <c r="D628" s="84"/>
      <c r="E628" s="84"/>
      <c r="F628" s="84"/>
      <c r="G628" s="84"/>
      <c r="H628" s="85"/>
      <c r="I628" s="86"/>
      <c r="J628" s="88"/>
    </row>
    <row r="629" spans="2:10" s="89" customFormat="1">
      <c r="B629" s="82"/>
      <c r="C629" s="149"/>
      <c r="D629" s="84"/>
      <c r="E629" s="84"/>
      <c r="F629" s="84"/>
      <c r="G629" s="84"/>
      <c r="H629" s="85"/>
      <c r="I629" s="86"/>
      <c r="J629" s="88"/>
    </row>
    <row r="630" spans="2:10" s="89" customFormat="1">
      <c r="B630" s="82"/>
      <c r="C630" s="149"/>
      <c r="D630" s="84"/>
      <c r="E630" s="84"/>
      <c r="F630" s="84"/>
      <c r="G630" s="84"/>
      <c r="H630" s="85"/>
      <c r="I630" s="86"/>
      <c r="J630" s="88"/>
    </row>
    <row r="631" spans="2:10" s="89" customFormat="1">
      <c r="B631" s="82"/>
      <c r="C631" s="149"/>
      <c r="D631" s="84"/>
      <c r="E631" s="84"/>
      <c r="F631" s="84"/>
      <c r="G631" s="84"/>
      <c r="H631" s="85"/>
      <c r="I631" s="86"/>
      <c r="J631" s="88"/>
    </row>
    <row r="632" spans="2:10" s="89" customFormat="1">
      <c r="B632" s="82"/>
      <c r="C632" s="149"/>
      <c r="D632" s="84"/>
      <c r="E632" s="84"/>
      <c r="F632" s="84"/>
      <c r="G632" s="84"/>
      <c r="H632" s="85"/>
      <c r="I632" s="86"/>
      <c r="J632" s="88"/>
    </row>
    <row r="633" spans="2:10" s="89" customFormat="1">
      <c r="B633" s="82"/>
      <c r="C633" s="149"/>
      <c r="D633" s="84"/>
      <c r="E633" s="84"/>
      <c r="F633" s="84"/>
      <c r="G633" s="84"/>
      <c r="H633" s="85"/>
      <c r="I633" s="86"/>
      <c r="J633" s="88"/>
    </row>
    <row r="634" spans="2:10" s="89" customFormat="1">
      <c r="B634" s="82"/>
      <c r="C634" s="149"/>
      <c r="D634" s="84"/>
      <c r="E634" s="84"/>
      <c r="F634" s="84"/>
      <c r="G634" s="84"/>
      <c r="H634" s="85"/>
      <c r="I634" s="86"/>
      <c r="J634" s="88"/>
    </row>
    <row r="635" spans="2:10" s="89" customFormat="1">
      <c r="B635" s="82"/>
      <c r="C635" s="149"/>
      <c r="D635" s="84"/>
      <c r="E635" s="84"/>
      <c r="F635" s="84"/>
      <c r="G635" s="84"/>
      <c r="H635" s="85"/>
      <c r="I635" s="86"/>
      <c r="J635" s="88"/>
    </row>
    <row r="636" spans="2:10" s="89" customFormat="1">
      <c r="B636" s="82"/>
      <c r="C636" s="149"/>
      <c r="D636" s="84"/>
      <c r="E636" s="84"/>
      <c r="F636" s="84"/>
      <c r="G636" s="84"/>
      <c r="H636" s="85"/>
      <c r="I636" s="86"/>
      <c r="J636" s="88"/>
    </row>
    <row r="637" spans="2:10" s="89" customFormat="1">
      <c r="B637" s="82"/>
      <c r="C637" s="149"/>
      <c r="D637" s="84"/>
      <c r="E637" s="84"/>
      <c r="F637" s="84"/>
      <c r="G637" s="84"/>
      <c r="H637" s="85"/>
      <c r="I637" s="86"/>
      <c r="J637" s="88"/>
    </row>
    <row r="638" spans="2:10" s="89" customFormat="1">
      <c r="B638" s="82"/>
      <c r="C638" s="149"/>
      <c r="D638" s="84"/>
      <c r="E638" s="84"/>
      <c r="F638" s="84"/>
      <c r="G638" s="84"/>
      <c r="H638" s="85"/>
      <c r="I638" s="86"/>
      <c r="J638" s="88"/>
    </row>
    <row r="639" spans="2:10" s="89" customFormat="1">
      <c r="B639" s="82"/>
      <c r="C639" s="149"/>
      <c r="D639" s="84"/>
      <c r="E639" s="84"/>
      <c r="F639" s="84"/>
      <c r="G639" s="84"/>
      <c r="H639" s="85"/>
      <c r="I639" s="86"/>
      <c r="J639" s="88"/>
    </row>
    <row r="640" spans="2:10" s="89" customFormat="1">
      <c r="B640" s="82"/>
      <c r="C640" s="149"/>
      <c r="D640" s="84"/>
      <c r="E640" s="84"/>
      <c r="F640" s="84"/>
      <c r="G640" s="84"/>
      <c r="H640" s="85"/>
      <c r="I640" s="86"/>
      <c r="J640" s="88"/>
    </row>
    <row r="641" spans="2:10" s="89" customFormat="1">
      <c r="B641" s="82"/>
      <c r="C641" s="149"/>
      <c r="D641" s="84"/>
      <c r="E641" s="84"/>
      <c r="F641" s="84"/>
      <c r="G641" s="84"/>
      <c r="H641" s="85"/>
      <c r="I641" s="86"/>
      <c r="J641" s="88"/>
    </row>
    <row r="642" spans="2:10" s="89" customFormat="1">
      <c r="B642" s="82"/>
      <c r="C642" s="149"/>
      <c r="D642" s="84"/>
      <c r="E642" s="84"/>
      <c r="F642" s="84"/>
      <c r="G642" s="84"/>
      <c r="H642" s="85"/>
      <c r="I642" s="86"/>
      <c r="J642" s="88"/>
    </row>
    <row r="643" spans="2:10" s="89" customFormat="1">
      <c r="B643" s="82"/>
      <c r="C643" s="149"/>
      <c r="D643" s="84"/>
      <c r="E643" s="84"/>
      <c r="F643" s="84"/>
      <c r="G643" s="84"/>
      <c r="H643" s="85"/>
      <c r="I643" s="86"/>
      <c r="J643" s="88"/>
    </row>
    <row r="644" spans="2:10" s="89" customFormat="1">
      <c r="B644" s="82"/>
      <c r="C644" s="149"/>
      <c r="D644" s="84"/>
      <c r="E644" s="84"/>
      <c r="F644" s="84"/>
      <c r="G644" s="84"/>
      <c r="H644" s="85"/>
      <c r="I644" s="86"/>
      <c r="J644" s="88"/>
    </row>
    <row r="645" spans="2:10" s="89" customFormat="1">
      <c r="B645" s="82"/>
      <c r="C645" s="149"/>
      <c r="D645" s="84"/>
      <c r="E645" s="84"/>
      <c r="F645" s="84"/>
      <c r="G645" s="84"/>
      <c r="H645" s="85"/>
      <c r="I645" s="86"/>
      <c r="J645" s="88"/>
    </row>
    <row r="646" spans="2:10" s="89" customFormat="1">
      <c r="B646" s="82"/>
      <c r="C646" s="149"/>
      <c r="D646" s="84"/>
      <c r="E646" s="84"/>
      <c r="F646" s="84"/>
      <c r="G646" s="84"/>
      <c r="H646" s="85"/>
      <c r="I646" s="86"/>
      <c r="J646" s="88"/>
    </row>
    <row r="647" spans="2:10" s="89" customFormat="1">
      <c r="B647" s="82"/>
      <c r="C647" s="149"/>
      <c r="D647" s="84"/>
      <c r="E647" s="84"/>
      <c r="F647" s="84"/>
      <c r="G647" s="84"/>
      <c r="H647" s="85"/>
      <c r="I647" s="86"/>
      <c r="J647" s="88"/>
    </row>
    <row r="648" spans="2:10" s="89" customFormat="1">
      <c r="B648" s="82"/>
      <c r="C648" s="149"/>
      <c r="D648" s="84"/>
      <c r="E648" s="84"/>
      <c r="F648" s="84"/>
      <c r="G648" s="84"/>
      <c r="H648" s="85"/>
      <c r="I648" s="86"/>
      <c r="J648" s="88"/>
    </row>
    <row r="649" spans="2:10" s="89" customFormat="1">
      <c r="B649" s="82"/>
      <c r="C649" s="149"/>
      <c r="D649" s="84"/>
      <c r="E649" s="84"/>
      <c r="F649" s="84"/>
      <c r="G649" s="84"/>
      <c r="H649" s="85"/>
      <c r="I649" s="86"/>
      <c r="J649" s="88"/>
    </row>
    <row r="650" spans="2:10" s="89" customFormat="1">
      <c r="B650" s="82"/>
      <c r="C650" s="149"/>
      <c r="D650" s="84"/>
      <c r="E650" s="84"/>
      <c r="F650" s="84"/>
      <c r="G650" s="84"/>
      <c r="H650" s="85"/>
      <c r="I650" s="86"/>
      <c r="J650" s="88"/>
    </row>
    <row r="651" spans="2:10" s="89" customFormat="1">
      <c r="B651" s="82"/>
      <c r="C651" s="149"/>
      <c r="D651" s="84"/>
      <c r="E651" s="84"/>
      <c r="F651" s="84"/>
      <c r="G651" s="84"/>
      <c r="H651" s="85"/>
      <c r="I651" s="86"/>
      <c r="J651" s="88"/>
    </row>
    <row r="652" spans="2:10" s="89" customFormat="1">
      <c r="B652" s="82"/>
      <c r="C652" s="149"/>
      <c r="D652" s="84"/>
      <c r="E652" s="84"/>
      <c r="F652" s="84"/>
      <c r="G652" s="84"/>
      <c r="H652" s="85"/>
      <c r="I652" s="86"/>
      <c r="J652" s="88"/>
    </row>
    <row r="653" spans="2:10" s="89" customFormat="1">
      <c r="B653" s="82"/>
      <c r="C653" s="149"/>
      <c r="D653" s="84"/>
      <c r="E653" s="84"/>
      <c r="F653" s="84"/>
      <c r="G653" s="84"/>
      <c r="H653" s="85"/>
      <c r="I653" s="86"/>
      <c r="J653" s="88"/>
    </row>
    <row r="654" spans="2:10" s="89" customFormat="1">
      <c r="B654" s="82"/>
      <c r="C654" s="149"/>
      <c r="D654" s="84"/>
      <c r="E654" s="84"/>
      <c r="F654" s="84"/>
      <c r="G654" s="84"/>
      <c r="H654" s="85"/>
      <c r="I654" s="86"/>
      <c r="J654" s="88"/>
    </row>
    <row r="655" spans="2:10" s="89" customFormat="1">
      <c r="B655" s="82"/>
      <c r="C655" s="149"/>
      <c r="D655" s="84"/>
      <c r="E655" s="84"/>
      <c r="F655" s="84"/>
      <c r="G655" s="84"/>
      <c r="H655" s="85"/>
      <c r="I655" s="86"/>
      <c r="J655" s="88"/>
    </row>
    <row r="656" spans="2:10" s="89" customFormat="1">
      <c r="B656" s="82"/>
      <c r="C656" s="149"/>
      <c r="D656" s="84"/>
      <c r="E656" s="84"/>
      <c r="F656" s="84"/>
      <c r="G656" s="84"/>
      <c r="H656" s="85"/>
      <c r="I656" s="86"/>
      <c r="J656" s="88"/>
    </row>
    <row r="657" spans="2:10" s="89" customFormat="1">
      <c r="B657" s="82"/>
      <c r="C657" s="149"/>
      <c r="D657" s="84"/>
      <c r="E657" s="84"/>
      <c r="F657" s="84"/>
      <c r="G657" s="84"/>
      <c r="H657" s="85"/>
      <c r="I657" s="86"/>
      <c r="J657" s="88"/>
    </row>
    <row r="658" spans="2:10" s="89" customFormat="1">
      <c r="B658" s="82"/>
      <c r="C658" s="149"/>
      <c r="D658" s="84"/>
      <c r="E658" s="84"/>
      <c r="F658" s="84"/>
      <c r="G658" s="84"/>
      <c r="H658" s="85"/>
      <c r="I658" s="86"/>
      <c r="J658" s="88"/>
    </row>
    <row r="659" spans="2:10" s="89" customFormat="1">
      <c r="B659" s="82"/>
      <c r="C659" s="149"/>
      <c r="D659" s="84"/>
      <c r="E659" s="84"/>
      <c r="F659" s="84"/>
      <c r="G659" s="84"/>
      <c r="H659" s="85"/>
      <c r="I659" s="86"/>
      <c r="J659" s="88"/>
    </row>
    <row r="660" spans="2:10" s="89" customFormat="1">
      <c r="B660" s="82"/>
      <c r="C660" s="149"/>
      <c r="D660" s="84"/>
      <c r="E660" s="84"/>
      <c r="F660" s="84"/>
      <c r="G660" s="84"/>
      <c r="H660" s="85"/>
      <c r="I660" s="86"/>
      <c r="J660" s="88"/>
    </row>
    <row r="661" spans="2:10" s="89" customFormat="1">
      <c r="B661" s="82"/>
      <c r="C661" s="149"/>
      <c r="D661" s="84"/>
      <c r="E661" s="84"/>
      <c r="F661" s="84"/>
      <c r="G661" s="84"/>
      <c r="H661" s="85"/>
      <c r="I661" s="86"/>
      <c r="J661" s="88"/>
    </row>
    <row r="662" spans="2:10" s="89" customFormat="1">
      <c r="B662" s="82"/>
      <c r="C662" s="149"/>
      <c r="D662" s="84"/>
      <c r="E662" s="84"/>
      <c r="F662" s="84"/>
      <c r="G662" s="84"/>
      <c r="H662" s="85"/>
      <c r="I662" s="86"/>
      <c r="J662" s="88"/>
    </row>
    <row r="663" spans="2:10" s="89" customFormat="1">
      <c r="B663" s="82"/>
      <c r="C663" s="149"/>
      <c r="D663" s="84"/>
      <c r="E663" s="84"/>
      <c r="F663" s="84"/>
      <c r="G663" s="84"/>
      <c r="H663" s="85"/>
      <c r="I663" s="86"/>
      <c r="J663" s="88"/>
    </row>
    <row r="664" spans="2:10" s="89" customFormat="1">
      <c r="B664" s="82"/>
      <c r="C664" s="149"/>
      <c r="D664" s="84"/>
      <c r="E664" s="84"/>
      <c r="F664" s="84"/>
      <c r="G664" s="84"/>
      <c r="H664" s="85"/>
      <c r="I664" s="86"/>
      <c r="J664" s="88"/>
    </row>
    <row r="665" spans="2:10" s="89" customFormat="1">
      <c r="B665" s="82"/>
      <c r="C665" s="149"/>
      <c r="D665" s="84"/>
      <c r="E665" s="84"/>
      <c r="F665" s="84"/>
      <c r="G665" s="84"/>
      <c r="H665" s="85"/>
      <c r="I665" s="86"/>
      <c r="J665" s="88"/>
    </row>
    <row r="666" spans="2:10" s="89" customFormat="1">
      <c r="B666" s="82"/>
      <c r="C666" s="149"/>
      <c r="D666" s="84"/>
      <c r="E666" s="84"/>
      <c r="F666" s="84"/>
      <c r="G666" s="84"/>
      <c r="H666" s="85"/>
      <c r="I666" s="86"/>
      <c r="J666" s="88"/>
    </row>
    <row r="667" spans="2:10" s="89" customFormat="1">
      <c r="B667" s="82"/>
      <c r="C667" s="149"/>
      <c r="D667" s="84"/>
      <c r="E667" s="84"/>
      <c r="F667" s="84"/>
      <c r="G667" s="84"/>
      <c r="H667" s="85"/>
      <c r="I667" s="86"/>
      <c r="J667" s="88"/>
    </row>
    <row r="668" spans="2:10" s="89" customFormat="1">
      <c r="B668" s="82"/>
      <c r="C668" s="149"/>
      <c r="D668" s="84"/>
      <c r="E668" s="84"/>
      <c r="F668" s="84"/>
      <c r="G668" s="84"/>
      <c r="H668" s="85"/>
      <c r="I668" s="86"/>
      <c r="J668" s="88"/>
    </row>
    <row r="669" spans="2:10" s="89" customFormat="1">
      <c r="B669" s="82"/>
      <c r="C669" s="149"/>
      <c r="D669" s="84"/>
      <c r="E669" s="84"/>
      <c r="F669" s="84"/>
      <c r="G669" s="84"/>
      <c r="H669" s="85"/>
      <c r="I669" s="86"/>
      <c r="J669" s="88"/>
    </row>
    <row r="670" spans="2:10" s="89" customFormat="1">
      <c r="B670" s="82"/>
      <c r="C670" s="149"/>
      <c r="D670" s="84"/>
      <c r="E670" s="84"/>
      <c r="F670" s="84"/>
      <c r="G670" s="84"/>
      <c r="H670" s="85"/>
      <c r="I670" s="86"/>
      <c r="J670" s="88"/>
    </row>
    <row r="671" spans="2:10" s="89" customFormat="1">
      <c r="B671" s="82"/>
      <c r="C671" s="149"/>
      <c r="D671" s="84"/>
      <c r="E671" s="84"/>
      <c r="F671" s="84"/>
      <c r="G671" s="84"/>
      <c r="H671" s="85"/>
      <c r="I671" s="86"/>
      <c r="J671" s="88"/>
    </row>
    <row r="672" spans="2:10" s="89" customFormat="1">
      <c r="B672" s="82"/>
      <c r="C672" s="149"/>
      <c r="D672" s="84"/>
      <c r="E672" s="84"/>
      <c r="F672" s="84"/>
      <c r="G672" s="84"/>
      <c r="H672" s="85"/>
      <c r="I672" s="86"/>
      <c r="J672" s="88"/>
    </row>
    <row r="673" spans="2:10" s="89" customFormat="1">
      <c r="B673" s="82"/>
      <c r="C673" s="149"/>
      <c r="D673" s="84"/>
      <c r="E673" s="84"/>
      <c r="F673" s="84"/>
      <c r="G673" s="84"/>
      <c r="H673" s="85"/>
      <c r="I673" s="86"/>
      <c r="J673" s="88"/>
    </row>
    <row r="674" spans="2:10" s="89" customFormat="1">
      <c r="B674" s="82"/>
      <c r="C674" s="149"/>
      <c r="D674" s="84"/>
      <c r="E674" s="84"/>
      <c r="F674" s="84"/>
      <c r="G674" s="84"/>
      <c r="H674" s="85"/>
      <c r="I674" s="86"/>
      <c r="J674" s="88"/>
    </row>
    <row r="675" spans="2:10" s="89" customFormat="1">
      <c r="B675" s="82"/>
      <c r="C675" s="149"/>
      <c r="D675" s="84"/>
      <c r="E675" s="84"/>
      <c r="F675" s="84"/>
      <c r="G675" s="84"/>
      <c r="H675" s="85"/>
      <c r="I675" s="86"/>
      <c r="J675" s="88"/>
    </row>
    <row r="676" spans="2:10" s="89" customFormat="1">
      <c r="B676" s="82"/>
      <c r="C676" s="149"/>
      <c r="D676" s="84"/>
      <c r="E676" s="84"/>
      <c r="F676" s="84"/>
      <c r="G676" s="84"/>
      <c r="H676" s="85"/>
      <c r="I676" s="86"/>
      <c r="J676" s="88"/>
    </row>
    <row r="677" spans="2:10" s="89" customFormat="1">
      <c r="B677" s="82"/>
      <c r="C677" s="149"/>
      <c r="D677" s="84"/>
      <c r="E677" s="84"/>
      <c r="F677" s="84"/>
      <c r="G677" s="84"/>
      <c r="H677" s="85"/>
      <c r="I677" s="86"/>
      <c r="J677" s="88"/>
    </row>
    <row r="678" spans="2:10" s="89" customFormat="1">
      <c r="B678" s="82"/>
      <c r="C678" s="149"/>
      <c r="D678" s="84"/>
      <c r="E678" s="84"/>
      <c r="F678" s="84"/>
      <c r="G678" s="84"/>
      <c r="H678" s="85"/>
      <c r="I678" s="86"/>
      <c r="J678" s="88"/>
    </row>
    <row r="679" spans="2:10" s="89" customFormat="1">
      <c r="B679" s="82"/>
      <c r="C679" s="149"/>
      <c r="D679" s="84"/>
      <c r="E679" s="84"/>
      <c r="F679" s="84"/>
      <c r="G679" s="84"/>
      <c r="H679" s="85"/>
      <c r="I679" s="86"/>
      <c r="J679" s="88"/>
    </row>
    <row r="680" spans="2:10" s="89" customFormat="1">
      <c r="B680" s="82"/>
      <c r="C680" s="149"/>
      <c r="D680" s="84"/>
      <c r="E680" s="84"/>
      <c r="F680" s="84"/>
      <c r="G680" s="84"/>
      <c r="H680" s="85"/>
      <c r="I680" s="86"/>
      <c r="J680" s="88"/>
    </row>
    <row r="681" spans="2:10" s="89" customFormat="1">
      <c r="B681" s="82"/>
      <c r="C681" s="149"/>
      <c r="D681" s="84"/>
      <c r="E681" s="84"/>
      <c r="F681" s="84"/>
      <c r="G681" s="84"/>
      <c r="H681" s="85"/>
      <c r="I681" s="86"/>
      <c r="J681" s="88"/>
    </row>
    <row r="682" spans="2:10" s="89" customFormat="1">
      <c r="B682" s="82"/>
      <c r="C682" s="149"/>
      <c r="D682" s="84"/>
      <c r="E682" s="84"/>
      <c r="F682" s="84"/>
      <c r="G682" s="84"/>
      <c r="H682" s="85"/>
      <c r="I682" s="86"/>
      <c r="J682" s="88"/>
    </row>
    <row r="683" spans="2:10" s="89" customFormat="1">
      <c r="B683" s="82"/>
      <c r="C683" s="149"/>
      <c r="D683" s="84"/>
      <c r="E683" s="84"/>
      <c r="F683" s="84"/>
      <c r="G683" s="84"/>
      <c r="H683" s="85"/>
      <c r="I683" s="86"/>
      <c r="J683" s="88"/>
    </row>
    <row r="684" spans="2:10" s="89" customFormat="1">
      <c r="B684" s="82"/>
      <c r="C684" s="149"/>
      <c r="D684" s="84"/>
      <c r="E684" s="84"/>
      <c r="F684" s="84"/>
      <c r="G684" s="84"/>
      <c r="H684" s="85"/>
      <c r="I684" s="86"/>
      <c r="J684" s="88"/>
    </row>
    <row r="685" spans="2:10" s="89" customFormat="1">
      <c r="B685" s="82"/>
      <c r="C685" s="149"/>
      <c r="D685" s="84"/>
      <c r="E685" s="84"/>
      <c r="F685" s="84"/>
      <c r="G685" s="84"/>
      <c r="H685" s="85"/>
      <c r="I685" s="86"/>
      <c r="J685" s="88"/>
    </row>
    <row r="686" spans="2:10" s="89" customFormat="1">
      <c r="B686" s="82"/>
      <c r="C686" s="149"/>
      <c r="D686" s="84"/>
      <c r="E686" s="84"/>
      <c r="F686" s="84"/>
      <c r="G686" s="84"/>
      <c r="H686" s="85"/>
      <c r="I686" s="86"/>
      <c r="J686" s="88"/>
    </row>
    <row r="687" spans="2:10" s="89" customFormat="1">
      <c r="B687" s="82"/>
      <c r="C687" s="149"/>
      <c r="D687" s="84"/>
      <c r="E687" s="84"/>
      <c r="F687" s="84"/>
      <c r="G687" s="84"/>
      <c r="H687" s="85"/>
      <c r="I687" s="86"/>
      <c r="J687" s="88"/>
    </row>
    <row r="688" spans="2:10" s="89" customFormat="1">
      <c r="B688" s="82"/>
      <c r="C688" s="149"/>
      <c r="D688" s="84"/>
      <c r="E688" s="84"/>
      <c r="F688" s="84"/>
      <c r="G688" s="84"/>
      <c r="H688" s="85"/>
      <c r="I688" s="86"/>
      <c r="J688" s="88"/>
    </row>
    <row r="689" spans="2:10" s="89" customFormat="1">
      <c r="B689" s="82"/>
      <c r="C689" s="149"/>
      <c r="D689" s="84"/>
      <c r="E689" s="84"/>
      <c r="F689" s="84"/>
      <c r="G689" s="84"/>
      <c r="H689" s="85"/>
      <c r="I689" s="86"/>
      <c r="J689" s="88"/>
    </row>
    <row r="690" spans="2:10" s="89" customFormat="1">
      <c r="B690" s="82"/>
      <c r="C690" s="149"/>
      <c r="D690" s="84"/>
      <c r="E690" s="84"/>
      <c r="F690" s="84"/>
      <c r="G690" s="84"/>
      <c r="H690" s="85"/>
      <c r="I690" s="86"/>
      <c r="J690" s="88"/>
    </row>
    <row r="691" spans="2:10" s="89" customFormat="1">
      <c r="B691" s="82"/>
      <c r="C691" s="149"/>
      <c r="D691" s="84"/>
      <c r="E691" s="84"/>
      <c r="F691" s="84"/>
      <c r="G691" s="84"/>
      <c r="H691" s="85"/>
      <c r="I691" s="86"/>
      <c r="J691" s="88"/>
    </row>
    <row r="692" spans="2:10" s="89" customFormat="1">
      <c r="B692" s="82"/>
      <c r="C692" s="149"/>
      <c r="D692" s="84"/>
      <c r="E692" s="84"/>
      <c r="F692" s="84"/>
      <c r="G692" s="84"/>
      <c r="H692" s="85"/>
      <c r="I692" s="86"/>
      <c r="J692" s="88"/>
    </row>
    <row r="693" spans="2:10" s="89" customFormat="1">
      <c r="B693" s="82"/>
      <c r="C693" s="149"/>
      <c r="D693" s="84"/>
      <c r="E693" s="84"/>
      <c r="F693" s="84"/>
      <c r="G693" s="84"/>
      <c r="H693" s="85"/>
      <c r="I693" s="86"/>
      <c r="J693" s="88"/>
    </row>
    <row r="694" spans="2:10" s="89" customFormat="1">
      <c r="B694" s="82"/>
      <c r="C694" s="149"/>
      <c r="D694" s="84"/>
      <c r="E694" s="84"/>
      <c r="F694" s="84"/>
      <c r="G694" s="84"/>
      <c r="H694" s="85"/>
      <c r="I694" s="86"/>
      <c r="J694" s="88"/>
    </row>
    <row r="695" spans="2:10" s="89" customFormat="1">
      <c r="B695" s="82"/>
      <c r="C695" s="149"/>
      <c r="D695" s="84"/>
      <c r="E695" s="84"/>
      <c r="F695" s="84"/>
      <c r="G695" s="84"/>
      <c r="H695" s="85"/>
      <c r="I695" s="86"/>
      <c r="J695" s="88"/>
    </row>
    <row r="696" spans="2:10" s="89" customFormat="1">
      <c r="B696" s="82"/>
      <c r="C696" s="149"/>
      <c r="D696" s="84"/>
      <c r="E696" s="84"/>
      <c r="F696" s="84"/>
      <c r="G696" s="84"/>
      <c r="H696" s="85"/>
      <c r="I696" s="86"/>
      <c r="J696" s="88"/>
    </row>
    <row r="697" spans="2:10" s="89" customFormat="1">
      <c r="B697" s="82"/>
      <c r="C697" s="149"/>
      <c r="D697" s="84"/>
      <c r="E697" s="84"/>
      <c r="F697" s="84"/>
      <c r="G697" s="84"/>
      <c r="H697" s="85"/>
      <c r="I697" s="86"/>
      <c r="J697" s="88"/>
    </row>
    <row r="698" spans="2:10" s="89" customFormat="1">
      <c r="B698" s="82"/>
      <c r="C698" s="149"/>
      <c r="D698" s="84"/>
      <c r="E698" s="84"/>
      <c r="F698" s="84"/>
      <c r="G698" s="84"/>
      <c r="H698" s="85"/>
      <c r="I698" s="86"/>
      <c r="J698" s="88"/>
    </row>
    <row r="699" spans="2:10" s="89" customFormat="1">
      <c r="B699" s="82"/>
      <c r="C699" s="149"/>
      <c r="D699" s="84"/>
      <c r="E699" s="84"/>
      <c r="F699" s="84"/>
      <c r="G699" s="84"/>
      <c r="H699" s="85"/>
      <c r="I699" s="86"/>
      <c r="J699" s="88"/>
    </row>
    <row r="700" spans="2:10" s="89" customFormat="1">
      <c r="B700" s="82"/>
      <c r="C700" s="149"/>
      <c r="D700" s="84"/>
      <c r="E700" s="84"/>
      <c r="F700" s="84"/>
      <c r="G700" s="84"/>
      <c r="H700" s="85"/>
      <c r="I700" s="86"/>
      <c r="J700" s="88"/>
    </row>
    <row r="701" spans="2:10" s="89" customFormat="1">
      <c r="B701" s="82"/>
      <c r="C701" s="149"/>
      <c r="D701" s="84"/>
      <c r="E701" s="84"/>
      <c r="F701" s="84"/>
      <c r="G701" s="84"/>
      <c r="H701" s="85"/>
      <c r="I701" s="86"/>
      <c r="J701" s="88"/>
    </row>
    <row r="702" spans="2:10" s="89" customFormat="1">
      <c r="B702" s="82"/>
      <c r="C702" s="149"/>
      <c r="D702" s="84"/>
      <c r="E702" s="84"/>
      <c r="F702" s="84"/>
      <c r="G702" s="84"/>
      <c r="H702" s="85"/>
      <c r="I702" s="86"/>
      <c r="J702" s="88"/>
    </row>
    <row r="703" spans="2:10" s="89" customFormat="1">
      <c r="B703" s="82"/>
      <c r="C703" s="149"/>
      <c r="D703" s="84"/>
      <c r="E703" s="84"/>
      <c r="F703" s="84"/>
      <c r="G703" s="84"/>
      <c r="H703" s="85"/>
      <c r="I703" s="86"/>
      <c r="J703" s="88"/>
    </row>
    <row r="704" spans="2:10" s="89" customFormat="1">
      <c r="B704" s="82"/>
      <c r="C704" s="149"/>
      <c r="D704" s="84"/>
      <c r="E704" s="84"/>
      <c r="F704" s="84"/>
      <c r="G704" s="84"/>
      <c r="H704" s="85"/>
      <c r="I704" s="86"/>
      <c r="J704" s="88"/>
    </row>
    <row r="705" spans="2:10" s="89" customFormat="1">
      <c r="B705" s="82"/>
      <c r="C705" s="149"/>
      <c r="D705" s="84"/>
      <c r="E705" s="84"/>
      <c r="F705" s="84"/>
      <c r="G705" s="84"/>
      <c r="H705" s="85"/>
      <c r="I705" s="86"/>
      <c r="J705" s="88"/>
    </row>
    <row r="706" spans="2:10" s="89" customFormat="1">
      <c r="B706" s="82"/>
      <c r="C706" s="149"/>
      <c r="D706" s="84"/>
      <c r="E706" s="84"/>
      <c r="F706" s="84"/>
      <c r="G706" s="84"/>
      <c r="H706" s="85"/>
      <c r="I706" s="86"/>
      <c r="J706" s="88"/>
    </row>
    <row r="707" spans="2:10" s="89" customFormat="1">
      <c r="B707" s="82"/>
      <c r="C707" s="149"/>
      <c r="D707" s="84"/>
      <c r="E707" s="84"/>
      <c r="F707" s="84"/>
      <c r="G707" s="84"/>
      <c r="H707" s="85"/>
      <c r="I707" s="86"/>
      <c r="J707" s="88"/>
    </row>
    <row r="708" spans="2:10" s="89" customFormat="1">
      <c r="B708" s="82"/>
      <c r="C708" s="149"/>
      <c r="D708" s="84"/>
      <c r="E708" s="84"/>
      <c r="F708" s="84"/>
      <c r="G708" s="84"/>
      <c r="H708" s="85"/>
      <c r="I708" s="86"/>
      <c r="J708" s="88"/>
    </row>
    <row r="709" spans="2:10" s="89" customFormat="1">
      <c r="B709" s="82"/>
      <c r="C709" s="149"/>
      <c r="D709" s="84"/>
      <c r="E709" s="84"/>
      <c r="F709" s="84"/>
      <c r="G709" s="84"/>
      <c r="H709" s="85"/>
      <c r="I709" s="86"/>
      <c r="J709" s="88"/>
    </row>
    <row r="710" spans="2:10" s="89" customFormat="1">
      <c r="B710" s="82"/>
      <c r="C710" s="149"/>
      <c r="D710" s="84"/>
      <c r="E710" s="84"/>
      <c r="F710" s="84"/>
      <c r="G710" s="84"/>
      <c r="H710" s="85"/>
      <c r="I710" s="86"/>
      <c r="J710" s="88"/>
    </row>
    <row r="711" spans="2:10" s="89" customFormat="1">
      <c r="B711" s="82"/>
      <c r="C711" s="149"/>
      <c r="D711" s="84"/>
      <c r="E711" s="84"/>
      <c r="F711" s="84"/>
      <c r="G711" s="84"/>
      <c r="H711" s="85"/>
      <c r="I711" s="86"/>
      <c r="J711" s="88"/>
    </row>
    <row r="712" spans="2:10" s="89" customFormat="1">
      <c r="B712" s="82"/>
      <c r="C712" s="149"/>
      <c r="D712" s="84"/>
      <c r="E712" s="84"/>
      <c r="F712" s="84"/>
      <c r="G712" s="84"/>
      <c r="H712" s="85"/>
      <c r="I712" s="86"/>
      <c r="J712" s="88"/>
    </row>
    <row r="713" spans="2:10" s="89" customFormat="1">
      <c r="B713" s="82"/>
      <c r="C713" s="149"/>
      <c r="D713" s="84"/>
      <c r="E713" s="84"/>
      <c r="F713" s="84"/>
      <c r="G713" s="84"/>
      <c r="H713" s="85"/>
      <c r="I713" s="86"/>
      <c r="J713" s="88"/>
    </row>
    <row r="714" spans="2:10" s="89" customFormat="1">
      <c r="B714" s="82"/>
      <c r="C714" s="149"/>
      <c r="D714" s="84"/>
      <c r="E714" s="84"/>
      <c r="F714" s="84"/>
      <c r="G714" s="84"/>
      <c r="H714" s="85"/>
      <c r="I714" s="86"/>
      <c r="J714" s="88"/>
    </row>
    <row r="715" spans="2:10" s="89" customFormat="1">
      <c r="B715" s="82"/>
      <c r="C715" s="149"/>
      <c r="D715" s="84"/>
      <c r="E715" s="84"/>
      <c r="F715" s="84"/>
      <c r="G715" s="84"/>
      <c r="H715" s="85"/>
      <c r="I715" s="86"/>
      <c r="J715" s="88"/>
    </row>
    <row r="716" spans="2:10" s="89" customFormat="1">
      <c r="B716" s="82"/>
      <c r="C716" s="149"/>
      <c r="D716" s="84"/>
      <c r="E716" s="84"/>
      <c r="F716" s="84"/>
      <c r="G716" s="84"/>
      <c r="H716" s="85"/>
      <c r="I716" s="86"/>
      <c r="J716" s="88"/>
    </row>
    <row r="717" spans="2:10" s="89" customFormat="1">
      <c r="B717" s="82"/>
      <c r="C717" s="149"/>
      <c r="D717" s="84"/>
      <c r="E717" s="84"/>
      <c r="F717" s="84"/>
      <c r="G717" s="84"/>
      <c r="H717" s="85"/>
      <c r="I717" s="86"/>
      <c r="J717" s="88"/>
    </row>
    <row r="718" spans="2:10" s="89" customFormat="1">
      <c r="B718" s="82"/>
      <c r="C718" s="149"/>
      <c r="D718" s="84"/>
      <c r="E718" s="84"/>
      <c r="F718" s="84"/>
      <c r="G718" s="84"/>
      <c r="H718" s="85"/>
      <c r="I718" s="86"/>
      <c r="J718" s="88"/>
    </row>
    <row r="719" spans="2:10" s="89" customFormat="1">
      <c r="B719" s="82"/>
      <c r="C719" s="149"/>
      <c r="D719" s="84"/>
      <c r="E719" s="84"/>
      <c r="F719" s="84"/>
      <c r="G719" s="84"/>
      <c r="H719" s="85"/>
      <c r="I719" s="86"/>
      <c r="J719" s="88"/>
    </row>
    <row r="720" spans="2:10" s="89" customFormat="1">
      <c r="B720" s="82"/>
      <c r="C720" s="149"/>
      <c r="D720" s="84"/>
      <c r="E720" s="84"/>
      <c r="F720" s="84"/>
      <c r="G720" s="84"/>
      <c r="H720" s="85"/>
      <c r="I720" s="86"/>
      <c r="J720" s="88"/>
    </row>
    <row r="721" spans="2:10" s="89" customFormat="1">
      <c r="B721" s="82"/>
      <c r="C721" s="149"/>
      <c r="D721" s="84"/>
      <c r="E721" s="84"/>
      <c r="F721" s="84"/>
      <c r="G721" s="84"/>
      <c r="H721" s="85"/>
      <c r="I721" s="86"/>
      <c r="J721" s="88"/>
    </row>
    <row r="722" spans="2:10" s="89" customFormat="1">
      <c r="B722" s="82"/>
      <c r="C722" s="149"/>
      <c r="D722" s="84"/>
      <c r="E722" s="84"/>
      <c r="F722" s="84"/>
      <c r="G722" s="84"/>
      <c r="H722" s="85"/>
      <c r="I722" s="86"/>
      <c r="J722" s="88"/>
    </row>
    <row r="723" spans="2:10" s="89" customFormat="1">
      <c r="B723" s="82"/>
      <c r="C723" s="149"/>
      <c r="D723" s="84"/>
      <c r="E723" s="84"/>
      <c r="F723" s="84"/>
      <c r="G723" s="84"/>
      <c r="H723" s="85"/>
      <c r="I723" s="86"/>
      <c r="J723" s="88"/>
    </row>
    <row r="724" spans="2:10" s="89" customFormat="1">
      <c r="B724" s="82"/>
      <c r="C724" s="149"/>
      <c r="D724" s="84"/>
      <c r="E724" s="84"/>
      <c r="F724" s="84"/>
      <c r="G724" s="84"/>
      <c r="H724" s="85"/>
      <c r="I724" s="86"/>
      <c r="J724" s="88"/>
    </row>
    <row r="725" spans="2:10" s="89" customFormat="1">
      <c r="B725" s="82"/>
      <c r="C725" s="149"/>
      <c r="D725" s="84"/>
      <c r="E725" s="84"/>
      <c r="F725" s="84"/>
      <c r="G725" s="84"/>
      <c r="H725" s="85"/>
      <c r="I725" s="86"/>
      <c r="J725" s="88"/>
    </row>
    <row r="726" spans="2:10" s="89" customFormat="1">
      <c r="B726" s="82"/>
      <c r="C726" s="149"/>
      <c r="D726" s="84"/>
      <c r="E726" s="84"/>
      <c r="F726" s="84"/>
      <c r="G726" s="84"/>
      <c r="H726" s="85"/>
      <c r="I726" s="86"/>
      <c r="J726" s="88"/>
    </row>
    <row r="727" spans="2:10" s="89" customFormat="1">
      <c r="B727" s="82"/>
      <c r="C727" s="149"/>
      <c r="D727" s="84"/>
      <c r="E727" s="84"/>
      <c r="F727" s="84"/>
      <c r="G727" s="84"/>
      <c r="H727" s="85"/>
      <c r="I727" s="86"/>
      <c r="J727" s="88"/>
    </row>
    <row r="728" spans="2:10" s="89" customFormat="1">
      <c r="B728" s="82"/>
      <c r="C728" s="149"/>
      <c r="D728" s="84"/>
      <c r="E728" s="84"/>
      <c r="F728" s="84"/>
      <c r="G728" s="84"/>
      <c r="H728" s="85"/>
      <c r="I728" s="86"/>
      <c r="J728" s="88"/>
    </row>
    <row r="729" spans="2:10" s="89" customFormat="1">
      <c r="B729" s="82"/>
      <c r="C729" s="149"/>
      <c r="D729" s="84"/>
      <c r="E729" s="84"/>
      <c r="F729" s="84"/>
      <c r="G729" s="84"/>
      <c r="H729" s="85"/>
      <c r="I729" s="86"/>
      <c r="J729" s="88"/>
    </row>
    <row r="730" spans="2:10" s="89" customFormat="1">
      <c r="B730" s="82"/>
      <c r="C730" s="149"/>
      <c r="D730" s="84"/>
      <c r="E730" s="84"/>
      <c r="F730" s="84"/>
      <c r="G730" s="84"/>
      <c r="H730" s="85"/>
      <c r="I730" s="86"/>
      <c r="J730" s="88"/>
    </row>
    <row r="731" spans="2:10" s="89" customFormat="1">
      <c r="B731" s="82"/>
      <c r="C731" s="149"/>
      <c r="D731" s="84"/>
      <c r="E731" s="84"/>
      <c r="F731" s="84"/>
      <c r="G731" s="84"/>
      <c r="H731" s="85"/>
      <c r="I731" s="86"/>
      <c r="J731" s="88"/>
    </row>
    <row r="732" spans="2:10" s="89" customFormat="1">
      <c r="B732" s="82"/>
      <c r="C732" s="149"/>
      <c r="D732" s="84"/>
      <c r="E732" s="84"/>
      <c r="F732" s="84"/>
      <c r="G732" s="84"/>
      <c r="H732" s="85"/>
      <c r="I732" s="86"/>
      <c r="J732" s="88"/>
    </row>
    <row r="733" spans="2:10" s="89" customFormat="1">
      <c r="B733" s="82"/>
      <c r="C733" s="149"/>
      <c r="D733" s="84"/>
      <c r="E733" s="84"/>
      <c r="F733" s="84"/>
      <c r="G733" s="84"/>
      <c r="H733" s="85"/>
      <c r="I733" s="86"/>
      <c r="J733" s="88"/>
    </row>
    <row r="734" spans="2:10" s="89" customFormat="1">
      <c r="B734" s="82"/>
      <c r="C734" s="149"/>
      <c r="D734" s="84"/>
      <c r="E734" s="84"/>
      <c r="F734" s="84"/>
      <c r="G734" s="84"/>
      <c r="H734" s="85"/>
      <c r="I734" s="86"/>
      <c r="J734" s="88"/>
    </row>
    <row r="735" spans="2:10" s="89" customFormat="1">
      <c r="B735" s="82"/>
      <c r="C735" s="149"/>
      <c r="D735" s="84"/>
      <c r="E735" s="84"/>
      <c r="F735" s="84"/>
      <c r="G735" s="84"/>
      <c r="H735" s="85"/>
      <c r="I735" s="86"/>
      <c r="J735" s="88"/>
    </row>
    <row r="736" spans="2:10" s="89" customFormat="1">
      <c r="B736" s="82"/>
      <c r="C736" s="149"/>
      <c r="D736" s="84"/>
      <c r="E736" s="84"/>
      <c r="F736" s="84"/>
      <c r="G736" s="84"/>
      <c r="H736" s="85"/>
      <c r="I736" s="86"/>
      <c r="J736" s="88"/>
    </row>
    <row r="737" spans="2:10" s="89" customFormat="1">
      <c r="B737" s="82"/>
      <c r="C737" s="149"/>
      <c r="D737" s="84"/>
      <c r="E737" s="84"/>
      <c r="F737" s="84"/>
      <c r="G737" s="84"/>
      <c r="H737" s="85"/>
      <c r="I737" s="86"/>
      <c r="J737" s="88"/>
    </row>
    <row r="738" spans="2:10" s="89" customFormat="1">
      <c r="B738" s="82"/>
      <c r="C738" s="149"/>
      <c r="D738" s="84"/>
      <c r="E738" s="84"/>
      <c r="F738" s="84"/>
      <c r="G738" s="84"/>
      <c r="H738" s="85"/>
      <c r="I738" s="86"/>
      <c r="J738" s="88"/>
    </row>
    <row r="739" spans="2:10" s="89" customFormat="1">
      <c r="B739" s="82"/>
      <c r="C739" s="149"/>
      <c r="D739" s="84"/>
      <c r="E739" s="84"/>
      <c r="F739" s="84"/>
      <c r="G739" s="84"/>
      <c r="H739" s="85"/>
      <c r="I739" s="86"/>
      <c r="J739" s="88"/>
    </row>
    <row r="740" spans="2:10" s="89" customFormat="1">
      <c r="B740" s="82"/>
      <c r="C740" s="149"/>
      <c r="D740" s="84"/>
      <c r="E740" s="84"/>
      <c r="F740" s="84"/>
      <c r="G740" s="84"/>
      <c r="H740" s="85"/>
      <c r="I740" s="86"/>
      <c r="J740" s="88"/>
    </row>
    <row r="741" spans="2:10" s="89" customFormat="1">
      <c r="B741" s="82"/>
      <c r="C741" s="149"/>
      <c r="D741" s="84"/>
      <c r="E741" s="84"/>
      <c r="F741" s="84"/>
      <c r="G741" s="84"/>
      <c r="H741" s="85"/>
      <c r="I741" s="86"/>
      <c r="J741" s="88"/>
    </row>
    <row r="742" spans="2:10" s="89" customFormat="1">
      <c r="B742" s="82"/>
      <c r="C742" s="149"/>
      <c r="D742" s="84"/>
      <c r="E742" s="84"/>
      <c r="F742" s="84"/>
      <c r="G742" s="84"/>
      <c r="H742" s="85"/>
      <c r="I742" s="86"/>
      <c r="J742" s="88"/>
    </row>
    <row r="743" spans="2:10" s="89" customFormat="1">
      <c r="B743" s="82"/>
      <c r="C743" s="149"/>
      <c r="D743" s="84"/>
      <c r="E743" s="84"/>
      <c r="F743" s="84"/>
      <c r="G743" s="84"/>
      <c r="H743" s="85"/>
      <c r="I743" s="86"/>
      <c r="J743" s="88"/>
    </row>
    <row r="744" spans="2:10" s="89" customFormat="1">
      <c r="B744" s="82"/>
      <c r="C744" s="149"/>
      <c r="D744" s="84"/>
      <c r="E744" s="84"/>
      <c r="F744" s="84"/>
      <c r="G744" s="84"/>
      <c r="H744" s="85"/>
      <c r="I744" s="86"/>
      <c r="J744" s="88"/>
    </row>
    <row r="745" spans="2:10" s="89" customFormat="1">
      <c r="B745" s="82"/>
      <c r="C745" s="149"/>
      <c r="D745" s="84"/>
      <c r="E745" s="84"/>
      <c r="F745" s="84"/>
      <c r="G745" s="84"/>
      <c r="H745" s="85"/>
      <c r="I745" s="86"/>
      <c r="J745" s="88"/>
    </row>
    <row r="746" spans="2:10" s="89" customFormat="1">
      <c r="B746" s="82"/>
      <c r="C746" s="149"/>
      <c r="D746" s="84"/>
      <c r="E746" s="84"/>
      <c r="F746" s="84"/>
      <c r="G746" s="84"/>
      <c r="H746" s="85"/>
      <c r="I746" s="86"/>
      <c r="J746" s="88"/>
    </row>
    <row r="747" spans="2:10" s="89" customFormat="1">
      <c r="B747" s="82"/>
      <c r="C747" s="149"/>
      <c r="D747" s="84"/>
      <c r="E747" s="84"/>
      <c r="F747" s="84"/>
      <c r="G747" s="84"/>
      <c r="H747" s="85"/>
      <c r="I747" s="86"/>
      <c r="J747" s="88"/>
    </row>
    <row r="748" spans="2:10" s="89" customFormat="1">
      <c r="B748" s="82"/>
      <c r="C748" s="149"/>
      <c r="D748" s="84"/>
      <c r="E748" s="84"/>
      <c r="F748" s="84"/>
      <c r="G748" s="84"/>
      <c r="H748" s="85"/>
      <c r="I748" s="86"/>
      <c r="J748" s="88"/>
    </row>
    <row r="749" spans="2:10" s="89" customFormat="1">
      <c r="B749" s="82"/>
      <c r="C749" s="149"/>
      <c r="D749" s="84"/>
      <c r="E749" s="84"/>
      <c r="F749" s="84"/>
      <c r="G749" s="84"/>
      <c r="H749" s="85"/>
      <c r="I749" s="86"/>
      <c r="J749" s="88"/>
    </row>
    <row r="750" spans="2:10" s="89" customFormat="1">
      <c r="B750" s="82"/>
      <c r="C750" s="149"/>
      <c r="D750" s="84"/>
      <c r="E750" s="84"/>
      <c r="F750" s="84"/>
      <c r="G750" s="84"/>
      <c r="H750" s="85"/>
      <c r="I750" s="86"/>
      <c r="J750" s="88"/>
    </row>
    <row r="751" spans="2:10" s="89" customFormat="1">
      <c r="B751" s="82"/>
      <c r="C751" s="149"/>
      <c r="D751" s="84"/>
      <c r="E751" s="84"/>
      <c r="F751" s="84"/>
      <c r="G751" s="84"/>
      <c r="H751" s="85"/>
      <c r="I751" s="86"/>
      <c r="J751" s="88"/>
    </row>
    <row r="752" spans="2:10" s="89" customFormat="1">
      <c r="B752" s="82"/>
      <c r="C752" s="149"/>
      <c r="D752" s="84"/>
      <c r="E752" s="84"/>
      <c r="F752" s="84"/>
      <c r="G752" s="84"/>
      <c r="H752" s="85"/>
      <c r="I752" s="86"/>
      <c r="J752" s="88"/>
    </row>
    <row r="753" spans="2:10" s="89" customFormat="1">
      <c r="B753" s="82"/>
      <c r="C753" s="149"/>
      <c r="D753" s="84"/>
      <c r="E753" s="84"/>
      <c r="F753" s="84"/>
      <c r="G753" s="84"/>
      <c r="H753" s="85"/>
      <c r="I753" s="86"/>
      <c r="J753" s="88"/>
    </row>
    <row r="754" spans="2:10" s="89" customFormat="1">
      <c r="B754" s="82"/>
      <c r="C754" s="149"/>
      <c r="D754" s="84"/>
      <c r="E754" s="84"/>
      <c r="F754" s="84"/>
      <c r="G754" s="84"/>
      <c r="H754" s="85"/>
      <c r="I754" s="86"/>
      <c r="J754" s="88"/>
    </row>
    <row r="755" spans="2:10" s="89" customFormat="1">
      <c r="B755" s="82"/>
      <c r="C755" s="149"/>
      <c r="D755" s="84"/>
      <c r="E755" s="84"/>
      <c r="F755" s="84"/>
      <c r="G755" s="84"/>
      <c r="H755" s="85"/>
      <c r="I755" s="86"/>
      <c r="J755" s="88"/>
    </row>
    <row r="756" spans="2:10" s="89" customFormat="1">
      <c r="B756" s="82"/>
      <c r="C756" s="149"/>
      <c r="D756" s="84"/>
      <c r="E756" s="84"/>
      <c r="F756" s="84"/>
      <c r="G756" s="84"/>
      <c r="H756" s="85"/>
      <c r="I756" s="86"/>
      <c r="J756" s="88"/>
    </row>
    <row r="757" spans="2:10" s="89" customFormat="1">
      <c r="B757" s="82"/>
      <c r="C757" s="149"/>
      <c r="D757" s="84"/>
      <c r="E757" s="84"/>
      <c r="F757" s="84"/>
      <c r="G757" s="84"/>
      <c r="H757" s="85"/>
      <c r="I757" s="86"/>
      <c r="J757" s="88"/>
    </row>
    <row r="758" spans="2:10" s="89" customFormat="1">
      <c r="B758" s="82"/>
      <c r="C758" s="149"/>
      <c r="D758" s="84"/>
      <c r="E758" s="84"/>
      <c r="F758" s="84"/>
      <c r="G758" s="84"/>
      <c r="H758" s="85"/>
      <c r="I758" s="86"/>
      <c r="J758" s="88"/>
    </row>
    <row r="759" spans="2:10" s="89" customFormat="1">
      <c r="B759" s="82"/>
      <c r="C759" s="149"/>
      <c r="D759" s="84"/>
      <c r="E759" s="84"/>
      <c r="F759" s="84"/>
      <c r="G759" s="84"/>
      <c r="H759" s="85"/>
      <c r="I759" s="86"/>
      <c r="J759" s="88"/>
    </row>
    <row r="760" spans="2:10" s="89" customFormat="1">
      <c r="B760" s="82"/>
      <c r="C760" s="149"/>
      <c r="D760" s="84"/>
      <c r="E760" s="84"/>
      <c r="F760" s="84"/>
      <c r="G760" s="84"/>
      <c r="H760" s="85"/>
      <c r="I760" s="86"/>
      <c r="J760" s="88"/>
    </row>
    <row r="761" spans="2:10" s="89" customFormat="1">
      <c r="B761" s="82"/>
      <c r="C761" s="149"/>
      <c r="D761" s="84"/>
      <c r="E761" s="84"/>
      <c r="F761" s="84"/>
      <c r="G761" s="84"/>
      <c r="H761" s="85"/>
      <c r="I761" s="86"/>
      <c r="J761" s="88"/>
    </row>
    <row r="762" spans="2:10" s="89" customFormat="1">
      <c r="B762" s="82"/>
      <c r="C762" s="149"/>
      <c r="D762" s="84"/>
      <c r="E762" s="84"/>
      <c r="F762" s="84"/>
      <c r="G762" s="84"/>
      <c r="H762" s="85"/>
      <c r="I762" s="86"/>
      <c r="J762" s="88"/>
    </row>
    <row r="763" spans="2:10" s="89" customFormat="1">
      <c r="B763" s="82"/>
      <c r="C763" s="149"/>
      <c r="D763" s="84"/>
      <c r="E763" s="84"/>
      <c r="F763" s="84"/>
      <c r="G763" s="84"/>
      <c r="H763" s="85"/>
      <c r="I763" s="86"/>
      <c r="J763" s="88"/>
    </row>
    <row r="764" spans="2:10" s="89" customFormat="1">
      <c r="B764" s="82"/>
      <c r="C764" s="149"/>
      <c r="D764" s="84"/>
      <c r="E764" s="84"/>
      <c r="F764" s="84"/>
      <c r="G764" s="84"/>
      <c r="H764" s="85"/>
      <c r="I764" s="86"/>
      <c r="J764" s="88"/>
    </row>
    <row r="765" spans="2:10" s="89" customFormat="1">
      <c r="B765" s="82"/>
      <c r="C765" s="149"/>
      <c r="D765" s="84"/>
      <c r="E765" s="84"/>
      <c r="F765" s="84"/>
      <c r="G765" s="84"/>
      <c r="H765" s="85"/>
      <c r="I765" s="86"/>
      <c r="J765" s="88"/>
    </row>
    <row r="766" spans="2:10" s="89" customFormat="1">
      <c r="B766" s="82"/>
      <c r="C766" s="149"/>
      <c r="D766" s="84"/>
      <c r="E766" s="84"/>
      <c r="F766" s="84"/>
      <c r="G766" s="84"/>
      <c r="H766" s="85"/>
      <c r="I766" s="86"/>
      <c r="J766" s="88"/>
    </row>
    <row r="767" spans="2:10" s="89" customFormat="1">
      <c r="B767" s="82"/>
      <c r="C767" s="149"/>
      <c r="D767" s="84"/>
      <c r="E767" s="84"/>
      <c r="F767" s="84"/>
      <c r="G767" s="84"/>
      <c r="H767" s="85"/>
      <c r="I767" s="86"/>
      <c r="J767" s="88"/>
    </row>
    <row r="768" spans="2:10" s="89" customFormat="1">
      <c r="B768" s="82"/>
      <c r="C768" s="149"/>
      <c r="D768" s="84"/>
      <c r="E768" s="84"/>
      <c r="F768" s="84"/>
      <c r="G768" s="84"/>
      <c r="H768" s="85"/>
      <c r="I768" s="86"/>
      <c r="J768" s="88"/>
    </row>
    <row r="769" spans="2:10" s="89" customFormat="1">
      <c r="B769" s="82"/>
      <c r="C769" s="149"/>
      <c r="D769" s="84"/>
      <c r="E769" s="84"/>
      <c r="F769" s="84"/>
      <c r="G769" s="84"/>
      <c r="H769" s="85"/>
      <c r="I769" s="86"/>
      <c r="J769" s="88"/>
    </row>
    <row r="770" spans="2:10" s="89" customFormat="1">
      <c r="B770" s="82"/>
      <c r="C770" s="149"/>
      <c r="D770" s="84"/>
      <c r="E770" s="84"/>
      <c r="F770" s="84"/>
      <c r="G770" s="84"/>
      <c r="H770" s="85"/>
      <c r="I770" s="86"/>
      <c r="J770" s="88"/>
    </row>
    <row r="771" spans="2:10" s="89" customFormat="1">
      <c r="B771" s="82"/>
      <c r="C771" s="149"/>
      <c r="D771" s="84"/>
      <c r="E771" s="84"/>
      <c r="F771" s="84"/>
      <c r="G771" s="84"/>
      <c r="H771" s="85"/>
      <c r="I771" s="86"/>
      <c r="J771" s="88"/>
    </row>
    <row r="772" spans="2:10" s="89" customFormat="1">
      <c r="B772" s="82"/>
      <c r="C772" s="149"/>
      <c r="D772" s="84"/>
      <c r="E772" s="84"/>
      <c r="F772" s="84"/>
      <c r="G772" s="84"/>
      <c r="H772" s="85"/>
      <c r="I772" s="86"/>
      <c r="J772" s="88"/>
    </row>
    <row r="773" spans="2:10" s="89" customFormat="1">
      <c r="B773" s="82"/>
      <c r="C773" s="149"/>
      <c r="D773" s="84"/>
      <c r="E773" s="84"/>
      <c r="F773" s="84"/>
      <c r="G773" s="84"/>
      <c r="H773" s="85"/>
      <c r="I773" s="86"/>
      <c r="J773" s="88"/>
    </row>
    <row r="774" spans="2:10" s="89" customFormat="1">
      <c r="B774" s="82"/>
      <c r="C774" s="149"/>
      <c r="D774" s="84"/>
      <c r="E774" s="84"/>
      <c r="F774" s="84"/>
      <c r="G774" s="84"/>
      <c r="H774" s="85"/>
      <c r="I774" s="86"/>
      <c r="J774" s="88"/>
    </row>
    <row r="775" spans="2:10" s="89" customFormat="1">
      <c r="B775" s="82"/>
      <c r="C775" s="149"/>
      <c r="D775" s="84"/>
      <c r="E775" s="84"/>
      <c r="F775" s="84"/>
      <c r="G775" s="84"/>
      <c r="H775" s="85"/>
      <c r="I775" s="86"/>
      <c r="J775" s="88"/>
    </row>
    <row r="776" spans="2:10" s="89" customFormat="1">
      <c r="B776" s="82"/>
      <c r="C776" s="149"/>
      <c r="D776" s="84"/>
      <c r="E776" s="84"/>
      <c r="F776" s="84"/>
      <c r="G776" s="84"/>
      <c r="H776" s="85"/>
      <c r="I776" s="86"/>
      <c r="J776" s="88"/>
    </row>
    <row r="777" spans="2:10" s="89" customFormat="1">
      <c r="B777" s="82"/>
      <c r="C777" s="149"/>
      <c r="D777" s="84"/>
      <c r="E777" s="84"/>
      <c r="F777" s="84"/>
      <c r="G777" s="84"/>
      <c r="H777" s="85"/>
      <c r="I777" s="86"/>
      <c r="J777" s="88"/>
    </row>
    <row r="778" spans="2:10" s="89" customFormat="1">
      <c r="B778" s="82"/>
      <c r="C778" s="149"/>
      <c r="D778" s="84"/>
      <c r="E778" s="84"/>
      <c r="F778" s="84"/>
      <c r="G778" s="84"/>
      <c r="H778" s="85"/>
      <c r="I778" s="86"/>
      <c r="J778" s="88"/>
    </row>
    <row r="779" spans="2:10" s="89" customFormat="1">
      <c r="B779" s="82"/>
      <c r="C779" s="149"/>
      <c r="D779" s="84"/>
      <c r="E779" s="84"/>
      <c r="F779" s="84"/>
      <c r="G779" s="84"/>
      <c r="H779" s="85"/>
      <c r="I779" s="86"/>
      <c r="J779" s="88"/>
    </row>
    <row r="780" spans="2:10" s="89" customFormat="1">
      <c r="B780" s="82"/>
      <c r="C780" s="149"/>
      <c r="D780" s="84"/>
      <c r="E780" s="84"/>
      <c r="F780" s="84"/>
      <c r="G780" s="84"/>
      <c r="H780" s="85"/>
      <c r="I780" s="86"/>
      <c r="J780" s="88"/>
    </row>
    <row r="781" spans="2:10" s="89" customFormat="1">
      <c r="B781" s="82"/>
      <c r="C781" s="149"/>
      <c r="D781" s="84"/>
      <c r="E781" s="84"/>
      <c r="F781" s="84"/>
      <c r="G781" s="84"/>
      <c r="H781" s="85"/>
      <c r="I781" s="86"/>
      <c r="J781" s="88"/>
    </row>
    <row r="782" spans="2:10" s="89" customFormat="1">
      <c r="B782" s="82"/>
      <c r="C782" s="149"/>
      <c r="D782" s="84"/>
      <c r="E782" s="84"/>
      <c r="F782" s="84"/>
      <c r="G782" s="84"/>
      <c r="H782" s="85"/>
      <c r="I782" s="86"/>
      <c r="J782" s="88"/>
    </row>
    <row r="783" spans="2:10" s="89" customFormat="1">
      <c r="B783" s="82"/>
      <c r="C783" s="149"/>
      <c r="D783" s="84"/>
      <c r="E783" s="84"/>
      <c r="F783" s="84"/>
      <c r="G783" s="84"/>
      <c r="H783" s="85"/>
      <c r="I783" s="86"/>
      <c r="J783" s="88"/>
    </row>
    <row r="784" spans="2:10" s="89" customFormat="1">
      <c r="B784" s="82"/>
      <c r="C784" s="149"/>
      <c r="D784" s="84"/>
      <c r="E784" s="84"/>
      <c r="F784" s="84"/>
      <c r="G784" s="84"/>
      <c r="H784" s="85"/>
      <c r="I784" s="86"/>
      <c r="J784" s="88"/>
    </row>
    <row r="785" spans="2:10" s="89" customFormat="1">
      <c r="B785" s="82"/>
      <c r="C785" s="149"/>
      <c r="D785" s="84"/>
      <c r="E785" s="84"/>
      <c r="F785" s="84"/>
      <c r="G785" s="84"/>
      <c r="H785" s="85"/>
      <c r="I785" s="86"/>
      <c r="J785" s="88"/>
    </row>
    <row r="786" spans="2:10" s="89" customFormat="1">
      <c r="B786" s="82"/>
      <c r="C786" s="149"/>
      <c r="D786" s="84"/>
      <c r="E786" s="84"/>
      <c r="F786" s="84"/>
      <c r="G786" s="84"/>
      <c r="H786" s="85"/>
      <c r="I786" s="86"/>
      <c r="J786" s="88"/>
    </row>
    <row r="787" spans="2:10" s="89" customFormat="1">
      <c r="B787" s="82"/>
      <c r="C787" s="149"/>
      <c r="D787" s="84"/>
      <c r="E787" s="84"/>
      <c r="F787" s="84"/>
      <c r="G787" s="84"/>
      <c r="H787" s="85"/>
      <c r="I787" s="86"/>
      <c r="J787" s="88"/>
    </row>
    <row r="788" spans="2:10" s="89" customFormat="1">
      <c r="B788" s="82"/>
      <c r="C788" s="149"/>
      <c r="D788" s="84"/>
      <c r="E788" s="84"/>
      <c r="F788" s="84"/>
      <c r="G788" s="84"/>
      <c r="H788" s="85"/>
      <c r="I788" s="86"/>
      <c r="J788" s="88"/>
    </row>
    <row r="789" spans="2:10" s="89" customFormat="1">
      <c r="B789" s="82"/>
      <c r="C789" s="149"/>
      <c r="D789" s="84"/>
      <c r="E789" s="84"/>
      <c r="F789" s="84"/>
      <c r="G789" s="84"/>
      <c r="H789" s="85"/>
      <c r="I789" s="86"/>
      <c r="J789" s="88"/>
    </row>
    <row r="790" spans="2:10" s="89" customFormat="1">
      <c r="B790" s="82"/>
      <c r="C790" s="149"/>
      <c r="D790" s="84"/>
      <c r="E790" s="84"/>
      <c r="F790" s="84"/>
      <c r="G790" s="84"/>
      <c r="H790" s="85"/>
      <c r="I790" s="86"/>
      <c r="J790" s="88"/>
    </row>
    <row r="791" spans="2:10" s="89" customFormat="1">
      <c r="B791" s="82"/>
      <c r="C791" s="149"/>
      <c r="D791" s="84"/>
      <c r="E791" s="84"/>
      <c r="F791" s="84"/>
      <c r="G791" s="84"/>
      <c r="H791" s="85"/>
      <c r="I791" s="86"/>
      <c r="J791" s="88"/>
    </row>
    <row r="792" spans="2:10" s="89" customFormat="1">
      <c r="B792" s="82"/>
      <c r="C792" s="149"/>
      <c r="D792" s="84"/>
      <c r="E792" s="84"/>
      <c r="F792" s="84"/>
      <c r="G792" s="84"/>
      <c r="H792" s="85"/>
      <c r="I792" s="86"/>
      <c r="J792" s="88"/>
    </row>
    <row r="793" spans="2:10" s="89" customFormat="1">
      <c r="B793" s="82"/>
      <c r="C793" s="149"/>
      <c r="D793" s="84"/>
      <c r="E793" s="84"/>
      <c r="F793" s="84"/>
      <c r="G793" s="84"/>
      <c r="H793" s="85"/>
      <c r="I793" s="86"/>
      <c r="J793" s="88"/>
    </row>
    <row r="794" spans="2:10" s="89" customFormat="1">
      <c r="B794" s="82"/>
      <c r="C794" s="149"/>
      <c r="D794" s="84"/>
      <c r="E794" s="84"/>
      <c r="F794" s="84"/>
      <c r="G794" s="84"/>
      <c r="H794" s="85"/>
      <c r="I794" s="86"/>
      <c r="J794" s="88"/>
    </row>
    <row r="795" spans="2:10" s="89" customFormat="1">
      <c r="B795" s="82"/>
      <c r="C795" s="149"/>
      <c r="D795" s="84"/>
      <c r="E795" s="84"/>
      <c r="F795" s="84"/>
      <c r="G795" s="84"/>
      <c r="H795" s="85"/>
      <c r="I795" s="86"/>
      <c r="J795" s="88"/>
    </row>
    <row r="796" spans="2:10" s="89" customFormat="1">
      <c r="B796" s="82"/>
      <c r="C796" s="149"/>
      <c r="D796" s="84"/>
      <c r="E796" s="84"/>
      <c r="F796" s="84"/>
      <c r="G796" s="84"/>
      <c r="H796" s="85"/>
      <c r="I796" s="86"/>
      <c r="J796" s="88"/>
    </row>
    <row r="797" spans="2:10" s="89" customFormat="1">
      <c r="B797" s="82"/>
      <c r="C797" s="149"/>
      <c r="D797" s="84"/>
      <c r="E797" s="84"/>
      <c r="F797" s="84"/>
      <c r="G797" s="84"/>
      <c r="H797" s="85"/>
      <c r="I797" s="86"/>
      <c r="J797" s="88"/>
    </row>
    <row r="798" spans="2:10" s="89" customFormat="1">
      <c r="B798" s="82"/>
      <c r="C798" s="149"/>
      <c r="D798" s="84"/>
      <c r="E798" s="84"/>
      <c r="F798" s="84"/>
      <c r="G798" s="84"/>
      <c r="H798" s="85"/>
      <c r="I798" s="86"/>
      <c r="J798" s="88"/>
    </row>
    <row r="799" spans="2:10" s="89" customFormat="1">
      <c r="B799" s="82"/>
      <c r="C799" s="149"/>
      <c r="D799" s="84"/>
      <c r="E799" s="84"/>
      <c r="F799" s="84"/>
      <c r="G799" s="84"/>
      <c r="H799" s="85"/>
      <c r="I799" s="86"/>
      <c r="J799" s="88"/>
    </row>
    <row r="800" spans="2:10" s="89" customFormat="1">
      <c r="B800" s="82"/>
      <c r="C800" s="149"/>
      <c r="D800" s="84"/>
      <c r="E800" s="84"/>
      <c r="F800" s="84"/>
      <c r="G800" s="84"/>
      <c r="H800" s="85"/>
      <c r="I800" s="86"/>
      <c r="J800" s="88"/>
    </row>
    <row r="801" spans="2:10" s="89" customFormat="1">
      <c r="B801" s="82"/>
      <c r="C801" s="149"/>
      <c r="D801" s="84"/>
      <c r="E801" s="84"/>
      <c r="F801" s="84"/>
      <c r="G801" s="84"/>
      <c r="H801" s="85"/>
      <c r="I801" s="86"/>
      <c r="J801" s="88"/>
    </row>
    <row r="802" spans="2:10" s="89" customFormat="1">
      <c r="B802" s="82"/>
      <c r="C802" s="149"/>
      <c r="D802" s="84"/>
      <c r="E802" s="84"/>
      <c r="F802" s="84"/>
      <c r="G802" s="84"/>
      <c r="H802" s="85"/>
      <c r="I802" s="86"/>
      <c r="J802" s="88"/>
    </row>
    <row r="803" spans="2:10" s="89" customFormat="1">
      <c r="B803" s="82"/>
      <c r="C803" s="149"/>
      <c r="D803" s="84"/>
      <c r="E803" s="84"/>
      <c r="F803" s="84"/>
      <c r="G803" s="84"/>
      <c r="H803" s="85"/>
      <c r="I803" s="86"/>
      <c r="J803" s="88"/>
    </row>
    <row r="804" spans="2:10" s="89" customFormat="1">
      <c r="B804" s="82"/>
      <c r="C804" s="149"/>
      <c r="D804" s="84"/>
      <c r="E804" s="84"/>
      <c r="F804" s="84"/>
      <c r="G804" s="84"/>
      <c r="H804" s="85"/>
      <c r="I804" s="86"/>
      <c r="J804" s="88"/>
    </row>
    <row r="805" spans="2:10" s="89" customFormat="1">
      <c r="B805" s="82"/>
      <c r="C805" s="149"/>
      <c r="D805" s="84"/>
      <c r="E805" s="84"/>
      <c r="F805" s="84"/>
      <c r="G805" s="84"/>
      <c r="H805" s="85"/>
      <c r="I805" s="86"/>
      <c r="J805" s="88"/>
    </row>
    <row r="806" spans="2:10" s="89" customFormat="1">
      <c r="B806" s="82"/>
      <c r="C806" s="149"/>
      <c r="D806" s="84"/>
      <c r="E806" s="84"/>
      <c r="F806" s="84"/>
      <c r="G806" s="84"/>
      <c r="H806" s="85"/>
      <c r="I806" s="86"/>
      <c r="J806" s="88"/>
    </row>
    <row r="807" spans="2:10" s="89" customFormat="1">
      <c r="B807" s="82"/>
      <c r="C807" s="149"/>
      <c r="D807" s="84"/>
      <c r="E807" s="84"/>
      <c r="F807" s="84"/>
      <c r="G807" s="84"/>
      <c r="H807" s="85"/>
      <c r="I807" s="86"/>
      <c r="J807" s="88"/>
    </row>
    <row r="808" spans="2:10" s="89" customFormat="1">
      <c r="B808" s="82"/>
      <c r="C808" s="149"/>
      <c r="D808" s="84"/>
      <c r="E808" s="84"/>
      <c r="F808" s="84"/>
      <c r="G808" s="84"/>
      <c r="H808" s="85"/>
      <c r="I808" s="86"/>
      <c r="J808" s="88"/>
    </row>
    <row r="809" spans="2:10" s="89" customFormat="1">
      <c r="B809" s="82"/>
      <c r="C809" s="149"/>
      <c r="D809" s="84"/>
      <c r="E809" s="84"/>
      <c r="F809" s="84"/>
      <c r="G809" s="84"/>
      <c r="H809" s="85"/>
      <c r="I809" s="86"/>
      <c r="J809" s="88"/>
    </row>
    <row r="810" spans="2:10" s="89" customFormat="1">
      <c r="B810" s="82"/>
      <c r="C810" s="149"/>
      <c r="D810" s="84"/>
      <c r="E810" s="84"/>
      <c r="F810" s="84"/>
      <c r="G810" s="84"/>
      <c r="H810" s="85"/>
      <c r="I810" s="86"/>
      <c r="J810" s="88"/>
    </row>
    <row r="811" spans="2:10" s="89" customFormat="1">
      <c r="B811" s="82"/>
      <c r="C811" s="149"/>
      <c r="D811" s="84"/>
      <c r="E811" s="84"/>
      <c r="F811" s="84"/>
      <c r="G811" s="84"/>
      <c r="H811" s="85"/>
      <c r="I811" s="86"/>
      <c r="J811" s="88"/>
    </row>
    <row r="812" spans="2:10" s="89" customFormat="1">
      <c r="B812" s="82"/>
      <c r="C812" s="149"/>
      <c r="D812" s="84"/>
      <c r="E812" s="84"/>
      <c r="F812" s="84"/>
      <c r="G812" s="84"/>
      <c r="H812" s="85"/>
      <c r="I812" s="86"/>
      <c r="J812" s="88"/>
    </row>
    <row r="813" spans="2:10" s="89" customFormat="1">
      <c r="B813" s="82"/>
      <c r="C813" s="149"/>
      <c r="D813" s="84"/>
      <c r="E813" s="84"/>
      <c r="F813" s="84"/>
      <c r="G813" s="84"/>
      <c r="H813" s="85"/>
      <c r="I813" s="86"/>
      <c r="J813" s="88"/>
    </row>
    <row r="814" spans="2:10" s="89" customFormat="1">
      <c r="B814" s="82"/>
      <c r="C814" s="149"/>
      <c r="D814" s="84"/>
      <c r="E814" s="84"/>
      <c r="F814" s="84"/>
      <c r="G814" s="84"/>
      <c r="H814" s="85"/>
      <c r="I814" s="86"/>
      <c r="J814" s="88"/>
    </row>
    <row r="815" spans="2:10" s="89" customFormat="1">
      <c r="B815" s="82"/>
      <c r="C815" s="149"/>
      <c r="D815" s="84"/>
      <c r="E815" s="84"/>
      <c r="F815" s="84"/>
      <c r="G815" s="84"/>
      <c r="H815" s="85"/>
      <c r="I815" s="86"/>
      <c r="J815" s="88"/>
    </row>
    <row r="816" spans="2:10" s="89" customFormat="1">
      <c r="B816" s="82"/>
      <c r="C816" s="149"/>
      <c r="D816" s="84"/>
      <c r="E816" s="84"/>
      <c r="F816" s="84"/>
      <c r="G816" s="84"/>
      <c r="H816" s="85"/>
      <c r="I816" s="86"/>
      <c r="J816" s="88"/>
    </row>
    <row r="817" spans="2:10" s="89" customFormat="1">
      <c r="B817" s="82"/>
      <c r="C817" s="149"/>
      <c r="D817" s="84"/>
      <c r="E817" s="84"/>
      <c r="F817" s="84"/>
      <c r="G817" s="84"/>
      <c r="H817" s="85"/>
      <c r="I817" s="86"/>
      <c r="J817" s="88"/>
    </row>
    <row r="818" spans="2:10" s="89" customFormat="1">
      <c r="B818" s="82"/>
      <c r="C818" s="149"/>
      <c r="D818" s="84"/>
      <c r="E818" s="84"/>
      <c r="F818" s="84"/>
      <c r="G818" s="84"/>
      <c r="H818" s="85"/>
      <c r="I818" s="86"/>
      <c r="J818" s="88"/>
    </row>
    <row r="819" spans="2:10" s="89" customFormat="1">
      <c r="B819" s="82"/>
      <c r="C819" s="149"/>
      <c r="D819" s="84"/>
      <c r="E819" s="84"/>
      <c r="F819" s="84"/>
      <c r="G819" s="84"/>
      <c r="H819" s="85"/>
      <c r="I819" s="86"/>
      <c r="J819" s="88"/>
    </row>
    <row r="820" spans="2:10" s="89" customFormat="1">
      <c r="B820" s="82"/>
      <c r="C820" s="149"/>
      <c r="D820" s="84"/>
      <c r="E820" s="84"/>
      <c r="F820" s="84"/>
      <c r="G820" s="84"/>
      <c r="H820" s="85"/>
      <c r="I820" s="86"/>
      <c r="J820" s="88"/>
    </row>
    <row r="821" spans="2:10" s="89" customFormat="1">
      <c r="B821" s="82"/>
      <c r="C821" s="149"/>
      <c r="D821" s="84"/>
      <c r="E821" s="84"/>
      <c r="F821" s="84"/>
      <c r="G821" s="84"/>
      <c r="H821" s="85"/>
      <c r="I821" s="86"/>
      <c r="J821" s="88"/>
    </row>
    <row r="822" spans="2:10" s="89" customFormat="1">
      <c r="B822" s="82"/>
      <c r="C822" s="149"/>
      <c r="D822" s="84"/>
      <c r="E822" s="84"/>
      <c r="F822" s="84"/>
      <c r="G822" s="84"/>
      <c r="H822" s="85"/>
      <c r="I822" s="86"/>
      <c r="J822" s="88"/>
    </row>
    <row r="823" spans="2:10" s="89" customFormat="1">
      <c r="B823" s="82"/>
      <c r="C823" s="149"/>
      <c r="D823" s="84"/>
      <c r="E823" s="84"/>
      <c r="F823" s="84"/>
      <c r="G823" s="84"/>
      <c r="H823" s="85"/>
      <c r="I823" s="86"/>
      <c r="J823" s="88"/>
    </row>
    <row r="824" spans="2:10" s="89" customFormat="1">
      <c r="B824" s="82"/>
      <c r="C824" s="149"/>
      <c r="D824" s="84"/>
      <c r="E824" s="84"/>
      <c r="F824" s="84"/>
      <c r="G824" s="84"/>
      <c r="H824" s="85"/>
      <c r="I824" s="86"/>
      <c r="J824" s="88"/>
    </row>
    <row r="825" spans="2:10" s="89" customFormat="1">
      <c r="B825" s="82"/>
      <c r="C825" s="149"/>
      <c r="D825" s="84"/>
      <c r="E825" s="84"/>
      <c r="F825" s="84"/>
      <c r="G825" s="84"/>
      <c r="H825" s="85"/>
      <c r="I825" s="86"/>
      <c r="J825" s="88"/>
    </row>
    <row r="826" spans="2:10" s="89" customFormat="1">
      <c r="B826" s="82"/>
      <c r="C826" s="149"/>
      <c r="D826" s="84"/>
      <c r="E826" s="84"/>
      <c r="F826" s="84"/>
      <c r="G826" s="84"/>
      <c r="H826" s="85"/>
      <c r="I826" s="86"/>
      <c r="J826" s="88"/>
    </row>
    <row r="827" spans="2:10" s="89" customFormat="1">
      <c r="B827" s="82"/>
      <c r="C827" s="149"/>
      <c r="D827" s="84"/>
      <c r="E827" s="84"/>
      <c r="F827" s="84"/>
      <c r="G827" s="84"/>
      <c r="H827" s="85"/>
      <c r="I827" s="86"/>
      <c r="J827" s="88"/>
    </row>
    <row r="828" spans="2:10" s="89" customFormat="1">
      <c r="B828" s="82"/>
      <c r="C828" s="149"/>
      <c r="D828" s="84"/>
      <c r="E828" s="84"/>
      <c r="F828" s="84"/>
      <c r="G828" s="84"/>
      <c r="H828" s="85"/>
      <c r="I828" s="86"/>
      <c r="J828" s="88"/>
    </row>
    <row r="829" spans="2:10" s="89" customFormat="1">
      <c r="B829" s="82"/>
      <c r="C829" s="149"/>
      <c r="D829" s="84"/>
      <c r="E829" s="84"/>
      <c r="F829" s="84"/>
      <c r="G829" s="84"/>
      <c r="H829" s="85"/>
      <c r="I829" s="86"/>
      <c r="J829" s="88"/>
    </row>
    <row r="830" spans="2:10" s="89" customFormat="1">
      <c r="B830" s="82"/>
      <c r="C830" s="149"/>
      <c r="D830" s="84"/>
      <c r="E830" s="84"/>
      <c r="F830" s="84"/>
      <c r="G830" s="84"/>
      <c r="H830" s="85"/>
      <c r="I830" s="86"/>
      <c r="J830" s="88"/>
    </row>
    <row r="831" spans="2:10" s="89" customFormat="1">
      <c r="B831" s="82"/>
      <c r="C831" s="149"/>
      <c r="D831" s="84"/>
      <c r="E831" s="84"/>
      <c r="F831" s="84"/>
      <c r="G831" s="84"/>
      <c r="H831" s="85"/>
      <c r="I831" s="86"/>
      <c r="J831" s="88"/>
    </row>
    <row r="832" spans="2:10" s="89" customFormat="1">
      <c r="B832" s="82"/>
      <c r="C832" s="149"/>
      <c r="D832" s="84"/>
      <c r="E832" s="84"/>
      <c r="F832" s="84"/>
      <c r="G832" s="84"/>
      <c r="H832" s="85"/>
      <c r="I832" s="86"/>
      <c r="J832" s="88"/>
    </row>
    <row r="833" spans="2:10" s="89" customFormat="1">
      <c r="B833" s="82"/>
      <c r="C833" s="149"/>
      <c r="D833" s="84"/>
      <c r="E833" s="84"/>
      <c r="F833" s="84"/>
      <c r="G833" s="84"/>
      <c r="H833" s="85"/>
      <c r="I833" s="86"/>
      <c r="J833" s="88"/>
    </row>
    <row r="834" spans="2:10" s="89" customFormat="1">
      <c r="B834" s="82"/>
      <c r="C834" s="149"/>
      <c r="D834" s="84"/>
      <c r="E834" s="84"/>
      <c r="F834" s="84"/>
      <c r="G834" s="84"/>
      <c r="H834" s="85"/>
      <c r="I834" s="86"/>
      <c r="J834" s="88"/>
    </row>
    <row r="835" spans="2:10" s="89" customFormat="1">
      <c r="B835" s="82"/>
      <c r="C835" s="149"/>
      <c r="D835" s="84"/>
      <c r="E835" s="84"/>
      <c r="F835" s="84"/>
      <c r="G835" s="84"/>
      <c r="H835" s="85"/>
      <c r="I835" s="86"/>
      <c r="J835" s="88"/>
    </row>
    <row r="836" spans="2:10" s="89" customFormat="1">
      <c r="B836" s="82"/>
      <c r="C836" s="149"/>
      <c r="D836" s="84"/>
      <c r="E836" s="84"/>
      <c r="F836" s="84"/>
      <c r="G836" s="84"/>
      <c r="H836" s="85"/>
      <c r="I836" s="86"/>
      <c r="J836" s="88"/>
    </row>
    <row r="837" spans="2:10" s="89" customFormat="1">
      <c r="B837" s="82"/>
      <c r="C837" s="149"/>
      <c r="D837" s="84"/>
      <c r="E837" s="84"/>
      <c r="F837" s="84"/>
      <c r="G837" s="84"/>
      <c r="H837" s="85"/>
      <c r="I837" s="86"/>
      <c r="J837" s="88"/>
    </row>
    <row r="838" spans="2:10" s="89" customFormat="1">
      <c r="B838" s="82"/>
      <c r="C838" s="149"/>
      <c r="D838" s="84"/>
      <c r="E838" s="84"/>
      <c r="F838" s="84"/>
      <c r="G838" s="84"/>
      <c r="H838" s="85"/>
      <c r="I838" s="86"/>
      <c r="J838" s="88"/>
    </row>
    <row r="839" spans="2:10" s="89" customFormat="1">
      <c r="B839" s="82"/>
      <c r="C839" s="149"/>
      <c r="D839" s="84"/>
      <c r="E839" s="84"/>
      <c r="F839" s="84"/>
      <c r="G839" s="84"/>
      <c r="H839" s="85"/>
      <c r="I839" s="86"/>
      <c r="J839" s="88"/>
    </row>
    <row r="840" spans="2:10" s="89" customFormat="1">
      <c r="B840" s="82"/>
      <c r="C840" s="149"/>
      <c r="D840" s="84"/>
      <c r="E840" s="84"/>
      <c r="F840" s="84"/>
      <c r="G840" s="84"/>
      <c r="H840" s="85"/>
      <c r="I840" s="86"/>
      <c r="J840" s="88"/>
    </row>
    <row r="841" spans="2:10" s="89" customFormat="1">
      <c r="B841" s="82"/>
      <c r="C841" s="149"/>
      <c r="D841" s="84"/>
      <c r="E841" s="84"/>
      <c r="F841" s="84"/>
      <c r="G841" s="84"/>
      <c r="H841" s="85"/>
      <c r="I841" s="86"/>
      <c r="J841" s="88"/>
    </row>
    <row r="842" spans="2:10" s="89" customFormat="1">
      <c r="B842" s="82"/>
      <c r="C842" s="149"/>
      <c r="D842" s="84"/>
      <c r="E842" s="84"/>
      <c r="F842" s="84"/>
      <c r="G842" s="84"/>
      <c r="H842" s="85"/>
      <c r="I842" s="86"/>
      <c r="J842" s="88"/>
    </row>
    <row r="843" spans="2:10" s="89" customFormat="1">
      <c r="B843" s="82"/>
      <c r="C843" s="149"/>
      <c r="D843" s="84"/>
      <c r="E843" s="84"/>
      <c r="F843" s="84"/>
      <c r="G843" s="84"/>
      <c r="H843" s="85"/>
      <c r="I843" s="86"/>
      <c r="J843" s="88"/>
    </row>
    <row r="844" spans="2:10" s="89" customFormat="1">
      <c r="B844" s="82"/>
      <c r="C844" s="149"/>
      <c r="D844" s="84"/>
      <c r="E844" s="84"/>
      <c r="F844" s="84"/>
      <c r="G844" s="84"/>
      <c r="H844" s="85"/>
      <c r="I844" s="86"/>
      <c r="J844" s="88"/>
    </row>
    <row r="845" spans="2:10" s="89" customFormat="1">
      <c r="B845" s="82"/>
      <c r="C845" s="149"/>
      <c r="D845" s="84"/>
      <c r="E845" s="84"/>
      <c r="F845" s="84"/>
      <c r="G845" s="84"/>
      <c r="H845" s="85"/>
      <c r="I845" s="86"/>
      <c r="J845" s="88"/>
    </row>
    <row r="846" spans="2:10" s="89" customFormat="1">
      <c r="B846" s="82"/>
      <c r="C846" s="149"/>
      <c r="D846" s="84"/>
      <c r="E846" s="84"/>
      <c r="F846" s="84"/>
      <c r="G846" s="84"/>
      <c r="H846" s="85"/>
      <c r="I846" s="86"/>
      <c r="J846" s="88"/>
    </row>
    <row r="847" spans="2:10" s="89" customFormat="1">
      <c r="B847" s="82"/>
      <c r="C847" s="149"/>
      <c r="D847" s="84"/>
      <c r="E847" s="84"/>
      <c r="F847" s="84"/>
      <c r="G847" s="84"/>
      <c r="H847" s="85"/>
      <c r="I847" s="86"/>
      <c r="J847" s="88"/>
    </row>
    <row r="848" spans="2:10" s="89" customFormat="1">
      <c r="B848" s="82"/>
      <c r="C848" s="149"/>
      <c r="D848" s="84"/>
      <c r="E848" s="84"/>
      <c r="F848" s="84"/>
      <c r="G848" s="84"/>
      <c r="H848" s="85"/>
      <c r="I848" s="86"/>
      <c r="J848" s="88"/>
    </row>
    <row r="849" spans="2:10" s="89" customFormat="1">
      <c r="B849" s="82"/>
      <c r="C849" s="149"/>
      <c r="D849" s="84"/>
      <c r="E849" s="84"/>
      <c r="F849" s="84"/>
      <c r="G849" s="84"/>
      <c r="H849" s="85"/>
      <c r="I849" s="86"/>
      <c r="J849" s="88"/>
    </row>
    <row r="850" spans="2:10" s="89" customFormat="1">
      <c r="B850" s="82"/>
      <c r="C850" s="149"/>
      <c r="D850" s="84"/>
      <c r="E850" s="84"/>
      <c r="F850" s="84"/>
      <c r="G850" s="84"/>
      <c r="H850" s="85"/>
      <c r="I850" s="86"/>
      <c r="J850" s="88"/>
    </row>
    <row r="851" spans="2:10" s="89" customFormat="1">
      <c r="B851" s="82"/>
      <c r="C851" s="149"/>
      <c r="D851" s="84"/>
      <c r="E851" s="84"/>
      <c r="F851" s="84"/>
      <c r="G851" s="84"/>
      <c r="H851" s="85"/>
      <c r="I851" s="86"/>
      <c r="J851" s="88"/>
    </row>
    <row r="852" spans="2:10" s="89" customFormat="1">
      <c r="B852" s="82"/>
      <c r="C852" s="149"/>
      <c r="D852" s="84"/>
      <c r="E852" s="84"/>
      <c r="F852" s="84"/>
      <c r="G852" s="84"/>
      <c r="H852" s="85"/>
      <c r="I852" s="86"/>
      <c r="J852" s="88"/>
    </row>
    <row r="853" spans="2:10" s="89" customFormat="1">
      <c r="B853" s="82"/>
      <c r="C853" s="149"/>
      <c r="D853" s="84"/>
      <c r="E853" s="84"/>
      <c r="F853" s="84"/>
      <c r="G853" s="84"/>
      <c r="H853" s="85"/>
      <c r="I853" s="86"/>
      <c r="J853" s="88"/>
    </row>
    <row r="854" spans="2:10" s="89" customFormat="1">
      <c r="B854" s="82"/>
      <c r="C854" s="149"/>
      <c r="D854" s="84"/>
      <c r="E854" s="84"/>
      <c r="F854" s="84"/>
      <c r="G854" s="84"/>
      <c r="H854" s="85"/>
      <c r="I854" s="86"/>
      <c r="J854" s="88"/>
    </row>
    <row r="855" spans="2:10" s="89" customFormat="1">
      <c r="B855" s="82"/>
      <c r="C855" s="149"/>
      <c r="D855" s="84"/>
      <c r="E855" s="84"/>
      <c r="F855" s="84"/>
      <c r="G855" s="84"/>
      <c r="H855" s="85"/>
      <c r="I855" s="86"/>
      <c r="J855" s="88"/>
    </row>
    <row r="856" spans="2:10" s="89" customFormat="1">
      <c r="B856" s="82"/>
      <c r="C856" s="149"/>
      <c r="D856" s="84"/>
      <c r="E856" s="84"/>
      <c r="F856" s="84"/>
      <c r="G856" s="84"/>
      <c r="H856" s="85"/>
      <c r="I856" s="86"/>
      <c r="J856" s="88"/>
    </row>
    <row r="857" spans="2:10" s="89" customFormat="1">
      <c r="B857" s="82"/>
      <c r="C857" s="149"/>
      <c r="D857" s="84"/>
      <c r="E857" s="84"/>
      <c r="F857" s="84"/>
      <c r="G857" s="84"/>
      <c r="H857" s="85"/>
      <c r="I857" s="86"/>
      <c r="J857" s="88"/>
    </row>
    <row r="858" spans="2:10" s="89" customFormat="1">
      <c r="B858" s="82"/>
      <c r="C858" s="149"/>
      <c r="D858" s="84"/>
      <c r="E858" s="84"/>
      <c r="F858" s="84"/>
      <c r="G858" s="84"/>
      <c r="H858" s="85"/>
      <c r="I858" s="86"/>
      <c r="J858" s="88"/>
    </row>
    <row r="859" spans="2:10" s="89" customFormat="1">
      <c r="B859" s="82"/>
      <c r="C859" s="149"/>
      <c r="D859" s="84"/>
      <c r="E859" s="84"/>
      <c r="F859" s="84"/>
      <c r="G859" s="84"/>
      <c r="H859" s="85"/>
      <c r="I859" s="86"/>
      <c r="J859" s="88"/>
    </row>
    <row r="860" spans="2:10" s="89" customFormat="1">
      <c r="B860" s="82"/>
      <c r="C860" s="149"/>
      <c r="D860" s="84"/>
      <c r="E860" s="84"/>
      <c r="F860" s="84"/>
      <c r="G860" s="84"/>
      <c r="H860" s="85"/>
      <c r="I860" s="86"/>
      <c r="J860" s="88"/>
    </row>
    <row r="861" spans="2:10" s="89" customFormat="1">
      <c r="B861" s="82"/>
      <c r="C861" s="149"/>
      <c r="D861" s="84"/>
      <c r="E861" s="84"/>
      <c r="F861" s="84"/>
      <c r="G861" s="84"/>
      <c r="H861" s="85"/>
      <c r="I861" s="86"/>
      <c r="J861" s="88"/>
    </row>
    <row r="862" spans="2:10" s="89" customFormat="1">
      <c r="B862" s="82"/>
      <c r="C862" s="149"/>
      <c r="D862" s="84"/>
      <c r="E862" s="84"/>
      <c r="F862" s="84"/>
      <c r="G862" s="84"/>
      <c r="H862" s="85"/>
      <c r="I862" s="86"/>
      <c r="J862" s="88"/>
    </row>
    <row r="863" spans="2:10" s="89" customFormat="1">
      <c r="B863" s="82"/>
      <c r="C863" s="149"/>
      <c r="D863" s="84"/>
      <c r="E863" s="84"/>
      <c r="F863" s="84"/>
      <c r="G863" s="84"/>
      <c r="H863" s="85"/>
      <c r="I863" s="86"/>
      <c r="J863" s="88"/>
    </row>
    <row r="864" spans="2:10" s="89" customFormat="1">
      <c r="B864" s="82"/>
      <c r="C864" s="149"/>
      <c r="D864" s="84"/>
      <c r="E864" s="84"/>
      <c r="F864" s="84"/>
      <c r="G864" s="84"/>
      <c r="H864" s="85"/>
      <c r="I864" s="86"/>
      <c r="J864" s="88"/>
    </row>
    <row r="865" spans="2:10" s="89" customFormat="1">
      <c r="B865" s="82"/>
      <c r="C865" s="149"/>
      <c r="D865" s="84"/>
      <c r="E865" s="84"/>
      <c r="F865" s="84"/>
      <c r="G865" s="84"/>
      <c r="H865" s="85"/>
      <c r="I865" s="86"/>
      <c r="J865" s="88"/>
    </row>
    <row r="866" spans="2:10" s="89" customFormat="1">
      <c r="B866" s="82"/>
      <c r="C866" s="149"/>
      <c r="D866" s="84"/>
      <c r="E866" s="84"/>
      <c r="F866" s="84"/>
      <c r="G866" s="84"/>
      <c r="H866" s="85"/>
      <c r="I866" s="86"/>
      <c r="J866" s="88"/>
    </row>
    <row r="867" spans="2:10" s="89" customFormat="1">
      <c r="B867" s="82"/>
      <c r="C867" s="149"/>
      <c r="D867" s="84"/>
      <c r="E867" s="84"/>
      <c r="F867" s="84"/>
      <c r="G867" s="84"/>
      <c r="H867" s="85"/>
      <c r="I867" s="86"/>
      <c r="J867" s="88"/>
    </row>
    <row r="868" spans="2:10" s="89" customFormat="1">
      <c r="B868" s="82"/>
      <c r="C868" s="149"/>
      <c r="D868" s="84"/>
      <c r="E868" s="84"/>
      <c r="F868" s="84"/>
      <c r="G868" s="84"/>
      <c r="H868" s="85"/>
      <c r="I868" s="86"/>
      <c r="J868" s="88"/>
    </row>
    <row r="869" spans="2:10" s="89" customFormat="1">
      <c r="B869" s="82"/>
      <c r="C869" s="149"/>
      <c r="D869" s="84"/>
      <c r="E869" s="84"/>
      <c r="F869" s="84"/>
      <c r="G869" s="84"/>
      <c r="H869" s="85"/>
      <c r="I869" s="86"/>
      <c r="J869" s="88"/>
    </row>
    <row r="870" spans="2:10" s="89" customFormat="1">
      <c r="B870" s="82"/>
      <c r="C870" s="149"/>
      <c r="D870" s="84"/>
      <c r="E870" s="84"/>
      <c r="F870" s="84"/>
      <c r="G870" s="84"/>
      <c r="H870" s="85"/>
      <c r="I870" s="86"/>
      <c r="J870" s="88"/>
    </row>
    <row r="871" spans="2:10" s="89" customFormat="1">
      <c r="B871" s="82"/>
      <c r="C871" s="149"/>
      <c r="D871" s="84"/>
      <c r="E871" s="84"/>
      <c r="F871" s="84"/>
      <c r="G871" s="84"/>
      <c r="H871" s="85"/>
      <c r="I871" s="86"/>
      <c r="J871" s="88"/>
    </row>
    <row r="872" spans="2:10" s="89" customFormat="1">
      <c r="B872" s="82"/>
      <c r="C872" s="149"/>
      <c r="D872" s="84"/>
      <c r="E872" s="84"/>
      <c r="F872" s="84"/>
      <c r="G872" s="84"/>
      <c r="H872" s="85"/>
      <c r="I872" s="86"/>
      <c r="J872" s="88"/>
    </row>
    <row r="873" spans="2:10" s="89" customFormat="1">
      <c r="B873" s="82"/>
      <c r="C873" s="149"/>
      <c r="D873" s="84"/>
      <c r="E873" s="84"/>
      <c r="F873" s="84"/>
      <c r="G873" s="84"/>
      <c r="H873" s="85"/>
      <c r="I873" s="86"/>
      <c r="J873" s="88"/>
    </row>
    <row r="874" spans="2:10" s="89" customFormat="1">
      <c r="B874" s="82"/>
      <c r="C874" s="149"/>
      <c r="D874" s="84"/>
      <c r="E874" s="84"/>
      <c r="F874" s="84"/>
      <c r="G874" s="84"/>
      <c r="H874" s="85"/>
      <c r="I874" s="86"/>
      <c r="J874" s="88"/>
    </row>
    <row r="875" spans="2:10" s="89" customFormat="1">
      <c r="B875" s="82"/>
      <c r="C875" s="149"/>
      <c r="D875" s="84"/>
      <c r="E875" s="84"/>
      <c r="F875" s="84"/>
      <c r="G875" s="84"/>
      <c r="H875" s="85"/>
      <c r="I875" s="86"/>
      <c r="J875" s="88"/>
    </row>
    <row r="876" spans="2:10" s="89" customFormat="1">
      <c r="B876" s="82"/>
      <c r="C876" s="149"/>
      <c r="D876" s="84"/>
      <c r="E876" s="84"/>
      <c r="F876" s="84"/>
      <c r="G876" s="84"/>
      <c r="H876" s="85"/>
      <c r="I876" s="86"/>
      <c r="J876" s="88"/>
    </row>
    <row r="877" spans="2:10" s="89" customFormat="1">
      <c r="B877" s="82"/>
      <c r="C877" s="149"/>
      <c r="D877" s="84"/>
      <c r="E877" s="84"/>
      <c r="F877" s="84"/>
      <c r="G877" s="84"/>
      <c r="H877" s="85"/>
      <c r="I877" s="86"/>
      <c r="J877" s="88"/>
    </row>
    <row r="878" spans="2:10" s="89" customFormat="1">
      <c r="B878" s="82"/>
      <c r="C878" s="149"/>
      <c r="D878" s="84"/>
      <c r="E878" s="84"/>
      <c r="F878" s="84"/>
      <c r="G878" s="84"/>
      <c r="H878" s="85"/>
      <c r="I878" s="86"/>
      <c r="J878" s="88"/>
    </row>
    <row r="879" spans="2:10" s="89" customFormat="1">
      <c r="B879" s="82"/>
      <c r="C879" s="149"/>
      <c r="D879" s="84"/>
      <c r="E879" s="84"/>
      <c r="F879" s="84"/>
      <c r="G879" s="84"/>
      <c r="H879" s="85"/>
      <c r="I879" s="86"/>
      <c r="J879" s="88"/>
    </row>
    <row r="880" spans="2:10" s="89" customFormat="1">
      <c r="B880" s="82"/>
      <c r="C880" s="149"/>
      <c r="D880" s="84"/>
      <c r="E880" s="84"/>
      <c r="F880" s="84"/>
      <c r="G880" s="84"/>
      <c r="H880" s="85"/>
      <c r="I880" s="86"/>
      <c r="J880" s="88"/>
    </row>
    <row r="881" spans="2:10" s="89" customFormat="1">
      <c r="B881" s="82"/>
      <c r="C881" s="149"/>
      <c r="D881" s="84"/>
      <c r="E881" s="84"/>
      <c r="F881" s="84"/>
      <c r="G881" s="84"/>
      <c r="H881" s="85"/>
      <c r="I881" s="86"/>
      <c r="J881" s="88"/>
    </row>
    <row r="882" spans="2:10" s="89" customFormat="1">
      <c r="B882" s="82"/>
      <c r="C882" s="149"/>
      <c r="D882" s="84"/>
      <c r="E882" s="84"/>
      <c r="F882" s="84"/>
      <c r="G882" s="84"/>
      <c r="H882" s="85"/>
      <c r="I882" s="86"/>
      <c r="J882" s="88"/>
    </row>
    <row r="883" spans="2:10" s="89" customFormat="1">
      <c r="B883" s="82"/>
      <c r="C883" s="149"/>
      <c r="D883" s="84"/>
      <c r="E883" s="84"/>
      <c r="F883" s="84"/>
      <c r="G883" s="84"/>
      <c r="H883" s="85"/>
      <c r="I883" s="86"/>
      <c r="J883" s="88"/>
    </row>
    <row r="884" spans="2:10" s="89" customFormat="1">
      <c r="B884" s="82"/>
      <c r="C884" s="149"/>
      <c r="D884" s="84"/>
      <c r="E884" s="84"/>
      <c r="F884" s="84"/>
      <c r="G884" s="84"/>
      <c r="H884" s="85"/>
      <c r="I884" s="86"/>
      <c r="J884" s="88"/>
    </row>
    <row r="885" spans="2:10" s="89" customFormat="1">
      <c r="B885" s="82"/>
      <c r="C885" s="149"/>
      <c r="D885" s="84"/>
      <c r="E885" s="84"/>
      <c r="F885" s="84"/>
      <c r="G885" s="84"/>
      <c r="H885" s="85"/>
      <c r="I885" s="86"/>
      <c r="J885" s="88"/>
    </row>
    <row r="886" spans="2:10" s="89" customFormat="1">
      <c r="B886" s="82"/>
      <c r="C886" s="149"/>
      <c r="D886" s="84"/>
      <c r="E886" s="84"/>
      <c r="F886" s="84"/>
      <c r="G886" s="84"/>
      <c r="H886" s="85"/>
      <c r="I886" s="86"/>
      <c r="J886" s="88"/>
    </row>
    <row r="887" spans="2:10" s="89" customFormat="1">
      <c r="B887" s="82"/>
      <c r="C887" s="149"/>
      <c r="D887" s="84"/>
      <c r="E887" s="84"/>
      <c r="F887" s="84"/>
      <c r="G887" s="84"/>
      <c r="H887" s="85"/>
      <c r="I887" s="86"/>
      <c r="J887" s="88"/>
    </row>
    <row r="888" spans="2:10" s="89" customFormat="1">
      <c r="B888" s="82"/>
      <c r="C888" s="149"/>
      <c r="D888" s="84"/>
      <c r="E888" s="84"/>
      <c r="F888" s="84"/>
      <c r="G888" s="84"/>
      <c r="H888" s="85"/>
      <c r="I888" s="86"/>
      <c r="J888" s="88"/>
    </row>
    <row r="889" spans="2:10" s="89" customFormat="1">
      <c r="B889" s="82"/>
      <c r="C889" s="149"/>
      <c r="D889" s="84"/>
      <c r="E889" s="84"/>
      <c r="F889" s="84"/>
      <c r="G889" s="84"/>
      <c r="H889" s="85"/>
      <c r="I889" s="86"/>
      <c r="J889" s="88"/>
    </row>
    <row r="890" spans="2:10" s="89" customFormat="1">
      <c r="B890" s="82"/>
      <c r="C890" s="149"/>
      <c r="D890" s="84"/>
      <c r="E890" s="84"/>
      <c r="F890" s="84"/>
      <c r="G890" s="84"/>
      <c r="H890" s="85"/>
      <c r="I890" s="86"/>
      <c r="J890" s="88"/>
    </row>
    <row r="891" spans="2:10" s="89" customFormat="1">
      <c r="B891" s="82"/>
      <c r="C891" s="149"/>
      <c r="D891" s="84"/>
      <c r="E891" s="84"/>
      <c r="F891" s="84"/>
      <c r="G891" s="84"/>
      <c r="H891" s="85"/>
      <c r="I891" s="86"/>
      <c r="J891" s="88"/>
    </row>
    <row r="892" spans="2:10" s="89" customFormat="1">
      <c r="B892" s="82"/>
      <c r="C892" s="149"/>
      <c r="D892" s="84"/>
      <c r="E892" s="84"/>
      <c r="F892" s="84"/>
      <c r="G892" s="84"/>
      <c r="H892" s="85"/>
      <c r="I892" s="86"/>
      <c r="J892" s="88"/>
    </row>
    <row r="893" spans="2:10" s="89" customFormat="1">
      <c r="B893" s="82"/>
      <c r="C893" s="149"/>
      <c r="D893" s="84"/>
      <c r="E893" s="84"/>
      <c r="F893" s="84"/>
      <c r="G893" s="84"/>
      <c r="H893" s="85"/>
      <c r="I893" s="86"/>
      <c r="J893" s="88"/>
    </row>
    <row r="894" spans="2:10" s="89" customFormat="1">
      <c r="B894" s="82"/>
      <c r="C894" s="149"/>
      <c r="D894" s="84"/>
      <c r="E894" s="84"/>
      <c r="F894" s="84"/>
      <c r="G894" s="84"/>
      <c r="H894" s="85"/>
      <c r="I894" s="86"/>
      <c r="J894" s="88"/>
    </row>
    <row r="895" spans="2:10" s="89" customFormat="1">
      <c r="B895" s="82"/>
      <c r="C895" s="149"/>
      <c r="D895" s="84"/>
      <c r="E895" s="84"/>
      <c r="F895" s="84"/>
      <c r="G895" s="84"/>
      <c r="H895" s="85"/>
      <c r="I895" s="86"/>
      <c r="J895" s="88"/>
    </row>
    <row r="896" spans="2:10" s="89" customFormat="1">
      <c r="B896" s="82"/>
      <c r="C896" s="149"/>
      <c r="D896" s="84"/>
      <c r="E896" s="84"/>
      <c r="F896" s="84"/>
      <c r="G896" s="84"/>
      <c r="H896" s="85"/>
      <c r="I896" s="86"/>
      <c r="J896" s="88"/>
    </row>
    <row r="897" spans="2:10" s="89" customFormat="1">
      <c r="B897" s="82"/>
      <c r="C897" s="149"/>
      <c r="D897" s="84"/>
      <c r="E897" s="84"/>
      <c r="F897" s="84"/>
      <c r="G897" s="84"/>
      <c r="H897" s="85"/>
      <c r="I897" s="86"/>
      <c r="J897" s="88"/>
    </row>
    <row r="898" spans="2:10" s="89" customFormat="1">
      <c r="B898" s="82"/>
      <c r="C898" s="149"/>
      <c r="D898" s="84"/>
      <c r="E898" s="84"/>
      <c r="F898" s="84"/>
      <c r="G898" s="84"/>
      <c r="H898" s="85"/>
      <c r="I898" s="86"/>
      <c r="J898" s="88"/>
    </row>
    <row r="899" spans="2:10" s="89" customFormat="1">
      <c r="B899" s="82"/>
      <c r="C899" s="149"/>
      <c r="D899" s="84"/>
      <c r="E899" s="84"/>
      <c r="F899" s="84"/>
      <c r="G899" s="84"/>
      <c r="H899" s="85"/>
      <c r="I899" s="86"/>
      <c r="J899" s="88"/>
    </row>
    <row r="900" spans="2:10" s="89" customFormat="1">
      <c r="B900" s="82"/>
      <c r="C900" s="149"/>
      <c r="D900" s="84"/>
      <c r="E900" s="84"/>
      <c r="F900" s="84"/>
      <c r="G900" s="84"/>
      <c r="H900" s="85"/>
      <c r="I900" s="86"/>
      <c r="J900" s="88"/>
    </row>
    <row r="901" spans="2:10" s="89" customFormat="1">
      <c r="B901" s="82"/>
      <c r="C901" s="149"/>
      <c r="D901" s="84"/>
      <c r="E901" s="84"/>
      <c r="F901" s="84"/>
      <c r="G901" s="84"/>
      <c r="H901" s="85"/>
      <c r="I901" s="86"/>
      <c r="J901" s="88"/>
    </row>
    <row r="902" spans="2:10" s="89" customFormat="1">
      <c r="B902" s="82"/>
      <c r="C902" s="149"/>
      <c r="D902" s="84"/>
      <c r="E902" s="84"/>
      <c r="F902" s="84"/>
      <c r="G902" s="84"/>
      <c r="H902" s="85"/>
      <c r="I902" s="86"/>
      <c r="J902" s="88"/>
    </row>
    <row r="903" spans="2:10" s="89" customFormat="1">
      <c r="B903" s="82"/>
      <c r="C903" s="149"/>
      <c r="D903" s="84"/>
      <c r="E903" s="84"/>
      <c r="F903" s="84"/>
      <c r="G903" s="84"/>
      <c r="H903" s="85"/>
      <c r="I903" s="86"/>
      <c r="J903" s="88"/>
    </row>
    <row r="904" spans="2:10" s="89" customFormat="1">
      <c r="B904" s="82"/>
      <c r="C904" s="149"/>
      <c r="D904" s="84"/>
      <c r="E904" s="84"/>
      <c r="F904" s="84"/>
      <c r="G904" s="84"/>
      <c r="H904" s="85"/>
      <c r="I904" s="86"/>
      <c r="J904" s="88"/>
    </row>
    <row r="905" spans="2:10" s="89" customFormat="1">
      <c r="B905" s="82"/>
      <c r="C905" s="149"/>
      <c r="D905" s="84"/>
      <c r="E905" s="84"/>
      <c r="F905" s="84"/>
      <c r="G905" s="84"/>
      <c r="H905" s="85"/>
      <c r="I905" s="86"/>
      <c r="J905" s="88"/>
    </row>
    <row r="906" spans="2:10" s="89" customFormat="1">
      <c r="B906" s="82"/>
      <c r="C906" s="149"/>
      <c r="D906" s="84"/>
      <c r="E906" s="84"/>
      <c r="F906" s="84"/>
      <c r="G906" s="84"/>
      <c r="H906" s="85"/>
      <c r="I906" s="86"/>
      <c r="J906" s="88"/>
    </row>
    <row r="907" spans="2:10" s="89" customFormat="1">
      <c r="B907" s="82"/>
      <c r="C907" s="149"/>
      <c r="D907" s="84"/>
      <c r="E907" s="84"/>
      <c r="F907" s="84"/>
      <c r="G907" s="84"/>
      <c r="H907" s="85"/>
      <c r="I907" s="86"/>
      <c r="J907" s="88"/>
    </row>
    <row r="908" spans="2:10" s="89" customFormat="1">
      <c r="B908" s="82"/>
      <c r="C908" s="149"/>
      <c r="D908" s="84"/>
      <c r="E908" s="84"/>
      <c r="F908" s="84"/>
      <c r="G908" s="84"/>
      <c r="H908" s="85"/>
      <c r="I908" s="86"/>
      <c r="J908" s="88"/>
    </row>
    <row r="909" spans="2:10" s="89" customFormat="1">
      <c r="B909" s="82"/>
      <c r="C909" s="149"/>
      <c r="D909" s="84"/>
      <c r="E909" s="84"/>
      <c r="F909" s="84"/>
      <c r="G909" s="84"/>
      <c r="H909" s="85"/>
      <c r="I909" s="86"/>
      <c r="J909" s="88"/>
    </row>
    <row r="910" spans="2:10" s="89" customFormat="1">
      <c r="B910" s="82"/>
      <c r="C910" s="149"/>
      <c r="D910" s="84"/>
      <c r="E910" s="84"/>
      <c r="F910" s="84"/>
      <c r="G910" s="84"/>
      <c r="H910" s="85"/>
      <c r="I910" s="86"/>
      <c r="J910" s="88"/>
    </row>
    <row r="911" spans="2:10" s="89" customFormat="1">
      <c r="B911" s="82"/>
      <c r="C911" s="149"/>
      <c r="D911" s="84"/>
      <c r="E911" s="84"/>
      <c r="F911" s="84"/>
      <c r="G911" s="84"/>
      <c r="H911" s="85"/>
      <c r="I911" s="86"/>
      <c r="J911" s="88"/>
    </row>
    <row r="912" spans="2:10" s="89" customFormat="1">
      <c r="B912" s="82"/>
      <c r="C912" s="149"/>
      <c r="D912" s="84"/>
      <c r="E912" s="84"/>
      <c r="F912" s="84"/>
      <c r="G912" s="84"/>
      <c r="H912" s="85"/>
      <c r="I912" s="86"/>
      <c r="J912" s="88"/>
    </row>
    <row r="913" spans="2:10" s="89" customFormat="1">
      <c r="B913" s="82"/>
      <c r="C913" s="149"/>
      <c r="D913" s="84"/>
      <c r="E913" s="84"/>
      <c r="F913" s="84"/>
      <c r="G913" s="84"/>
      <c r="H913" s="85"/>
      <c r="I913" s="86"/>
      <c r="J913" s="88"/>
    </row>
    <row r="914" spans="2:10" s="89" customFormat="1">
      <c r="B914" s="82"/>
      <c r="C914" s="149"/>
      <c r="D914" s="84"/>
      <c r="E914" s="84"/>
      <c r="F914" s="84"/>
      <c r="G914" s="84"/>
      <c r="H914" s="85"/>
      <c r="I914" s="86"/>
      <c r="J914" s="88"/>
    </row>
    <row r="915" spans="2:10" s="89" customFormat="1">
      <c r="B915" s="82"/>
      <c r="C915" s="149"/>
      <c r="D915" s="84"/>
      <c r="E915" s="84"/>
      <c r="F915" s="84"/>
      <c r="G915" s="84"/>
      <c r="H915" s="85"/>
      <c r="I915" s="86"/>
      <c r="J915" s="88"/>
    </row>
    <row r="916" spans="2:10" s="89" customFormat="1">
      <c r="B916" s="82"/>
      <c r="C916" s="149"/>
      <c r="D916" s="84"/>
      <c r="E916" s="84"/>
      <c r="F916" s="84"/>
      <c r="G916" s="84"/>
      <c r="H916" s="85"/>
      <c r="I916" s="86"/>
      <c r="J916" s="88"/>
    </row>
    <row r="917" spans="2:10" s="89" customFormat="1">
      <c r="B917" s="82"/>
      <c r="C917" s="149"/>
      <c r="D917" s="84"/>
      <c r="E917" s="84"/>
      <c r="F917" s="84"/>
      <c r="G917" s="84"/>
      <c r="H917" s="85"/>
      <c r="I917" s="86"/>
      <c r="J917" s="88"/>
    </row>
    <row r="918" spans="2:10" s="89" customFormat="1">
      <c r="B918" s="82"/>
      <c r="C918" s="149"/>
      <c r="D918" s="84"/>
      <c r="E918" s="84"/>
      <c r="F918" s="84"/>
      <c r="G918" s="84"/>
      <c r="H918" s="85"/>
      <c r="I918" s="86"/>
      <c r="J918" s="88"/>
    </row>
    <row r="919" spans="2:10" s="89" customFormat="1">
      <c r="B919" s="82"/>
      <c r="C919" s="149"/>
      <c r="D919" s="84"/>
      <c r="E919" s="84"/>
      <c r="F919" s="84"/>
      <c r="G919" s="84"/>
      <c r="H919" s="85"/>
      <c r="I919" s="86"/>
      <c r="J919" s="88"/>
    </row>
    <row r="920" spans="2:10" s="89" customFormat="1">
      <c r="B920" s="82"/>
      <c r="C920" s="149"/>
      <c r="D920" s="84"/>
      <c r="E920" s="84"/>
      <c r="F920" s="84"/>
      <c r="G920" s="84"/>
      <c r="H920" s="85"/>
      <c r="I920" s="86"/>
      <c r="J920" s="88"/>
    </row>
    <row r="921" spans="2:10" s="89" customFormat="1">
      <c r="B921" s="82"/>
      <c r="C921" s="149"/>
      <c r="D921" s="84"/>
      <c r="E921" s="84"/>
      <c r="F921" s="84"/>
      <c r="G921" s="84"/>
      <c r="H921" s="85"/>
      <c r="I921" s="86"/>
      <c r="J921" s="88"/>
    </row>
    <row r="922" spans="2:10" s="89" customFormat="1">
      <c r="B922" s="82"/>
      <c r="C922" s="149"/>
      <c r="D922" s="84"/>
      <c r="E922" s="84"/>
      <c r="F922" s="84"/>
      <c r="G922" s="84"/>
      <c r="H922" s="85"/>
      <c r="I922" s="86"/>
      <c r="J922" s="88"/>
    </row>
    <row r="923" spans="2:10" s="89" customFormat="1">
      <c r="B923" s="82"/>
      <c r="C923" s="149"/>
      <c r="D923" s="84"/>
      <c r="E923" s="84"/>
      <c r="F923" s="84"/>
      <c r="G923" s="84"/>
      <c r="H923" s="85"/>
      <c r="I923" s="86"/>
      <c r="J923" s="88"/>
    </row>
    <row r="924" spans="2:10" s="89" customFormat="1">
      <c r="B924" s="82"/>
      <c r="C924" s="149"/>
      <c r="D924" s="84"/>
      <c r="E924" s="84"/>
      <c r="F924" s="84"/>
      <c r="G924" s="84"/>
      <c r="H924" s="85"/>
      <c r="I924" s="86"/>
      <c r="J924" s="88"/>
    </row>
    <row r="925" spans="2:10" s="89" customFormat="1">
      <c r="B925" s="82"/>
      <c r="C925" s="149"/>
      <c r="D925" s="84"/>
      <c r="E925" s="84"/>
      <c r="F925" s="84"/>
      <c r="G925" s="84"/>
      <c r="H925" s="85"/>
      <c r="I925" s="86"/>
      <c r="J925" s="88"/>
    </row>
    <row r="926" spans="2:10" s="89" customFormat="1">
      <c r="B926" s="82"/>
      <c r="C926" s="149"/>
      <c r="D926" s="84"/>
      <c r="E926" s="84"/>
      <c r="F926" s="84"/>
      <c r="G926" s="84"/>
      <c r="H926" s="85"/>
      <c r="I926" s="86"/>
      <c r="J926" s="88"/>
    </row>
    <row r="927" spans="2:10" s="89" customFormat="1">
      <c r="B927" s="82"/>
      <c r="C927" s="149"/>
      <c r="D927" s="84"/>
      <c r="E927" s="84"/>
      <c r="F927" s="84"/>
      <c r="G927" s="84"/>
      <c r="H927" s="85"/>
      <c r="I927" s="86"/>
      <c r="J927" s="88"/>
    </row>
    <row r="928" spans="2:10" s="89" customFormat="1">
      <c r="B928" s="82"/>
      <c r="C928" s="149"/>
      <c r="D928" s="84"/>
      <c r="E928" s="84"/>
      <c r="F928" s="84"/>
      <c r="G928" s="84"/>
      <c r="H928" s="85"/>
      <c r="I928" s="86"/>
      <c r="J928" s="88"/>
    </row>
    <row r="929" spans="2:10" s="89" customFormat="1">
      <c r="B929" s="82"/>
      <c r="C929" s="149"/>
      <c r="D929" s="84"/>
      <c r="E929" s="84"/>
      <c r="F929" s="84"/>
      <c r="G929" s="84"/>
      <c r="H929" s="85"/>
      <c r="I929" s="86"/>
      <c r="J929" s="88"/>
    </row>
    <row r="930" spans="2:10" s="89" customFormat="1">
      <c r="B930" s="82"/>
      <c r="C930" s="149"/>
      <c r="D930" s="84"/>
      <c r="E930" s="84"/>
      <c r="F930" s="84"/>
      <c r="G930" s="84"/>
      <c r="H930" s="85"/>
      <c r="I930" s="86"/>
      <c r="J930" s="88"/>
    </row>
    <row r="931" spans="2:10" s="89" customFormat="1">
      <c r="B931" s="82"/>
      <c r="C931" s="149"/>
      <c r="D931" s="84"/>
      <c r="E931" s="84"/>
      <c r="F931" s="84"/>
      <c r="G931" s="84"/>
      <c r="H931" s="85"/>
      <c r="I931" s="86"/>
      <c r="J931" s="88"/>
    </row>
    <row r="932" spans="2:10" s="89" customFormat="1">
      <c r="B932" s="82"/>
      <c r="C932" s="149"/>
      <c r="D932" s="84"/>
      <c r="E932" s="84"/>
      <c r="F932" s="84"/>
      <c r="G932" s="84"/>
      <c r="H932" s="85"/>
      <c r="I932" s="86"/>
      <c r="J932" s="88"/>
    </row>
    <row r="933" spans="2:10" s="89" customFormat="1">
      <c r="B933" s="82"/>
      <c r="C933" s="149"/>
      <c r="D933" s="84"/>
      <c r="E933" s="84"/>
      <c r="F933" s="84"/>
      <c r="G933" s="84"/>
      <c r="H933" s="85"/>
      <c r="I933" s="86"/>
      <c r="J933" s="88"/>
    </row>
    <row r="934" spans="2:10" s="89" customFormat="1">
      <c r="B934" s="82"/>
      <c r="C934" s="149"/>
      <c r="D934" s="84"/>
      <c r="E934" s="84"/>
      <c r="F934" s="84"/>
      <c r="G934" s="84"/>
      <c r="H934" s="85"/>
      <c r="I934" s="86"/>
      <c r="J934" s="88"/>
    </row>
    <row r="935" spans="2:10" s="89" customFormat="1">
      <c r="B935" s="82"/>
      <c r="C935" s="149"/>
      <c r="D935" s="84"/>
      <c r="E935" s="84"/>
      <c r="F935" s="84"/>
      <c r="G935" s="84"/>
      <c r="H935" s="85"/>
      <c r="I935" s="86"/>
      <c r="J935" s="88"/>
    </row>
    <row r="936" spans="2:10" s="89" customFormat="1">
      <c r="B936" s="82"/>
      <c r="C936" s="149"/>
      <c r="D936" s="84"/>
      <c r="E936" s="84"/>
      <c r="F936" s="84"/>
      <c r="G936" s="84"/>
      <c r="H936" s="85"/>
      <c r="I936" s="86"/>
      <c r="J936" s="88"/>
    </row>
    <row r="937" spans="2:10" s="89" customFormat="1">
      <c r="B937" s="82"/>
      <c r="C937" s="149"/>
      <c r="D937" s="84"/>
      <c r="E937" s="84"/>
      <c r="F937" s="84"/>
      <c r="G937" s="84"/>
      <c r="H937" s="85"/>
      <c r="I937" s="86"/>
      <c r="J937" s="88"/>
    </row>
    <row r="938" spans="2:10" s="89" customFormat="1">
      <c r="B938" s="82"/>
      <c r="C938" s="149"/>
      <c r="D938" s="84"/>
      <c r="E938" s="84"/>
      <c r="F938" s="84"/>
      <c r="G938" s="84"/>
      <c r="H938" s="85"/>
      <c r="I938" s="86"/>
      <c r="J938" s="88"/>
    </row>
    <row r="939" spans="2:10" s="89" customFormat="1">
      <c r="B939" s="82"/>
      <c r="C939" s="149"/>
      <c r="D939" s="84"/>
      <c r="E939" s="84"/>
      <c r="F939" s="84"/>
      <c r="G939" s="84"/>
      <c r="H939" s="85"/>
      <c r="I939" s="86"/>
      <c r="J939" s="88"/>
    </row>
    <row r="940" spans="2:10" s="89" customFormat="1">
      <c r="B940" s="82"/>
      <c r="C940" s="149"/>
      <c r="D940" s="84"/>
      <c r="E940" s="84"/>
      <c r="F940" s="84"/>
      <c r="G940" s="84"/>
      <c r="H940" s="85"/>
      <c r="I940" s="86"/>
      <c r="J940" s="88"/>
    </row>
    <row r="941" spans="2:10" s="89" customFormat="1">
      <c r="B941" s="82"/>
      <c r="C941" s="149"/>
      <c r="D941" s="84"/>
      <c r="E941" s="84"/>
      <c r="F941" s="84"/>
      <c r="G941" s="84"/>
      <c r="H941" s="85"/>
      <c r="I941" s="86"/>
      <c r="J941" s="88"/>
    </row>
    <row r="942" spans="2:10" s="89" customFormat="1">
      <c r="B942" s="82"/>
      <c r="C942" s="149"/>
      <c r="D942" s="84"/>
      <c r="E942" s="84"/>
      <c r="F942" s="84"/>
      <c r="G942" s="84"/>
      <c r="H942" s="85"/>
      <c r="I942" s="86"/>
      <c r="J942" s="88"/>
    </row>
    <row r="943" spans="2:10" s="89" customFormat="1">
      <c r="B943" s="82"/>
      <c r="C943" s="149"/>
      <c r="D943" s="84"/>
      <c r="E943" s="84"/>
      <c r="F943" s="84"/>
      <c r="G943" s="84"/>
      <c r="H943" s="85"/>
      <c r="I943" s="86"/>
      <c r="J943" s="88"/>
    </row>
    <row r="944" spans="2:10" s="89" customFormat="1">
      <c r="B944" s="82"/>
      <c r="C944" s="149"/>
      <c r="D944" s="84"/>
      <c r="E944" s="84"/>
      <c r="F944" s="84"/>
      <c r="G944" s="84"/>
      <c r="H944" s="85"/>
      <c r="I944" s="86"/>
      <c r="J944" s="88"/>
    </row>
    <row r="945" spans="2:10" s="89" customFormat="1">
      <c r="B945" s="82"/>
      <c r="C945" s="149"/>
      <c r="D945" s="84"/>
      <c r="E945" s="84"/>
      <c r="F945" s="84"/>
      <c r="G945" s="84"/>
      <c r="H945" s="85"/>
      <c r="I945" s="86"/>
      <c r="J945" s="88"/>
    </row>
    <row r="946" spans="2:10" s="89" customFormat="1">
      <c r="B946" s="82"/>
      <c r="C946" s="149"/>
      <c r="D946" s="84"/>
      <c r="E946" s="84"/>
      <c r="F946" s="84"/>
      <c r="G946" s="84"/>
      <c r="H946" s="85"/>
      <c r="I946" s="86"/>
      <c r="J946" s="88"/>
    </row>
    <row r="947" spans="2:10" s="89" customFormat="1">
      <c r="B947" s="82"/>
      <c r="C947" s="149"/>
      <c r="D947" s="84"/>
      <c r="E947" s="84"/>
      <c r="F947" s="84"/>
      <c r="G947" s="84"/>
      <c r="H947" s="85"/>
      <c r="I947" s="86"/>
      <c r="J947" s="88"/>
    </row>
    <row r="948" spans="2:10" s="89" customFormat="1">
      <c r="B948" s="82"/>
      <c r="C948" s="149"/>
      <c r="D948" s="84"/>
      <c r="E948" s="84"/>
      <c r="F948" s="84"/>
      <c r="G948" s="84"/>
      <c r="H948" s="85"/>
      <c r="I948" s="86"/>
      <c r="J948" s="88"/>
    </row>
    <row r="949" spans="2:10" s="89" customFormat="1">
      <c r="B949" s="82"/>
      <c r="C949" s="149"/>
      <c r="D949" s="84"/>
      <c r="E949" s="84"/>
      <c r="F949" s="84"/>
      <c r="G949" s="84"/>
      <c r="H949" s="85"/>
      <c r="I949" s="86"/>
      <c r="J949" s="88"/>
    </row>
    <row r="950" spans="2:10" s="89" customFormat="1">
      <c r="B950" s="82"/>
      <c r="C950" s="149"/>
      <c r="D950" s="84"/>
      <c r="E950" s="84"/>
      <c r="F950" s="84"/>
      <c r="G950" s="84"/>
      <c r="H950" s="85"/>
      <c r="I950" s="86"/>
      <c r="J950" s="88"/>
    </row>
    <row r="951" spans="2:10" s="89" customFormat="1">
      <c r="B951" s="82"/>
      <c r="C951" s="149"/>
      <c r="D951" s="84"/>
      <c r="E951" s="84"/>
      <c r="F951" s="84"/>
      <c r="G951" s="84"/>
      <c r="H951" s="85"/>
      <c r="I951" s="86"/>
      <c r="J951" s="88"/>
    </row>
    <row r="952" spans="2:10" s="89" customFormat="1">
      <c r="B952" s="82"/>
      <c r="C952" s="149"/>
      <c r="D952" s="84"/>
      <c r="E952" s="84"/>
      <c r="F952" s="84"/>
      <c r="G952" s="84"/>
      <c r="H952" s="85"/>
      <c r="I952" s="86"/>
      <c r="J952" s="88"/>
    </row>
    <row r="953" spans="2:10" s="89" customFormat="1">
      <c r="B953" s="82"/>
      <c r="C953" s="149"/>
      <c r="D953" s="84"/>
      <c r="E953" s="84"/>
      <c r="F953" s="84"/>
      <c r="G953" s="84"/>
      <c r="H953" s="85"/>
      <c r="I953" s="86"/>
      <c r="J953" s="88"/>
    </row>
    <row r="954" spans="2:10" s="89" customFormat="1">
      <c r="B954" s="82"/>
      <c r="C954" s="149"/>
      <c r="D954" s="84"/>
      <c r="E954" s="84"/>
      <c r="F954" s="84"/>
      <c r="G954" s="84"/>
      <c r="H954" s="85"/>
      <c r="I954" s="86"/>
      <c r="J954" s="88"/>
    </row>
    <row r="955" spans="2:10" s="89" customFormat="1">
      <c r="B955" s="82"/>
      <c r="C955" s="149"/>
      <c r="D955" s="84"/>
      <c r="E955" s="84"/>
      <c r="F955" s="84"/>
      <c r="G955" s="84"/>
      <c r="H955" s="85"/>
      <c r="I955" s="86"/>
      <c r="J955" s="88"/>
    </row>
    <row r="956" spans="2:10" s="89" customFormat="1">
      <c r="B956" s="82"/>
      <c r="C956" s="149"/>
      <c r="D956" s="84"/>
      <c r="E956" s="84"/>
      <c r="F956" s="84"/>
      <c r="G956" s="84"/>
      <c r="H956" s="85"/>
      <c r="I956" s="86"/>
      <c r="J956" s="88"/>
    </row>
    <row r="957" spans="2:10" s="89" customFormat="1">
      <c r="B957" s="82"/>
      <c r="C957" s="149"/>
      <c r="D957" s="84"/>
      <c r="E957" s="84"/>
      <c r="F957" s="84"/>
      <c r="G957" s="84"/>
      <c r="H957" s="85"/>
      <c r="I957" s="86"/>
      <c r="J957" s="88"/>
    </row>
    <row r="958" spans="2:10" s="89" customFormat="1">
      <c r="B958" s="82"/>
      <c r="C958" s="149"/>
      <c r="D958" s="84"/>
      <c r="E958" s="84"/>
      <c r="F958" s="84"/>
      <c r="G958" s="84"/>
      <c r="H958" s="85"/>
      <c r="I958" s="86"/>
      <c r="J958" s="88"/>
    </row>
    <row r="959" spans="2:10" s="89" customFormat="1">
      <c r="B959" s="82"/>
      <c r="C959" s="149"/>
      <c r="D959" s="84"/>
      <c r="E959" s="84"/>
      <c r="F959" s="84"/>
      <c r="G959" s="84"/>
      <c r="H959" s="85"/>
      <c r="I959" s="86"/>
      <c r="J959" s="88"/>
    </row>
    <row r="960" spans="2:10" s="89" customFormat="1">
      <c r="B960" s="82"/>
      <c r="C960" s="149"/>
      <c r="D960" s="84"/>
      <c r="E960" s="84"/>
      <c r="F960" s="84"/>
      <c r="G960" s="84"/>
      <c r="H960" s="85"/>
      <c r="I960" s="86"/>
      <c r="J960" s="88"/>
    </row>
    <row r="961" spans="2:10" s="89" customFormat="1">
      <c r="B961" s="82"/>
      <c r="C961" s="149"/>
      <c r="D961" s="84"/>
      <c r="E961" s="84"/>
      <c r="F961" s="84"/>
      <c r="G961" s="84"/>
      <c r="H961" s="85"/>
      <c r="I961" s="86"/>
      <c r="J961" s="88"/>
    </row>
    <row r="962" spans="2:10" s="89" customFormat="1">
      <c r="B962" s="82"/>
      <c r="C962" s="149"/>
      <c r="D962" s="84"/>
      <c r="E962" s="84"/>
      <c r="F962" s="84"/>
      <c r="G962" s="84"/>
      <c r="H962" s="85"/>
      <c r="I962" s="86"/>
      <c r="J962" s="88"/>
    </row>
    <row r="963" spans="2:10" s="89" customFormat="1">
      <c r="B963" s="82"/>
      <c r="C963" s="149"/>
      <c r="D963" s="84"/>
      <c r="E963" s="84"/>
      <c r="F963" s="84"/>
      <c r="G963" s="84"/>
      <c r="H963" s="85"/>
      <c r="I963" s="86"/>
      <c r="J963" s="88"/>
    </row>
    <row r="964" spans="2:10" s="89" customFormat="1">
      <c r="B964" s="82"/>
      <c r="C964" s="149"/>
      <c r="D964" s="84"/>
      <c r="E964" s="84"/>
      <c r="F964" s="84"/>
      <c r="G964" s="84"/>
      <c r="H964" s="85"/>
      <c r="I964" s="86"/>
      <c r="J964" s="88"/>
    </row>
    <row r="965" spans="2:10" s="89" customFormat="1">
      <c r="B965" s="82"/>
      <c r="C965" s="149"/>
      <c r="D965" s="84"/>
      <c r="E965" s="84"/>
      <c r="F965" s="84"/>
      <c r="G965" s="84"/>
      <c r="H965" s="85"/>
      <c r="I965" s="86"/>
      <c r="J965" s="88"/>
    </row>
    <row r="966" spans="2:10" s="89" customFormat="1">
      <c r="B966" s="82"/>
      <c r="C966" s="149"/>
      <c r="D966" s="84"/>
      <c r="E966" s="84"/>
      <c r="F966" s="84"/>
      <c r="G966" s="84"/>
      <c r="H966" s="85"/>
      <c r="I966" s="86"/>
      <c r="J966" s="88"/>
    </row>
    <row r="967" spans="2:10" s="89" customFormat="1">
      <c r="B967" s="82"/>
      <c r="C967" s="149"/>
      <c r="D967" s="84"/>
      <c r="E967" s="84"/>
      <c r="F967" s="84"/>
      <c r="G967" s="84"/>
      <c r="H967" s="85"/>
      <c r="I967" s="86"/>
      <c r="J967" s="88"/>
    </row>
    <row r="968" spans="2:10" s="89" customFormat="1">
      <c r="B968" s="82"/>
      <c r="C968" s="149"/>
      <c r="D968" s="84"/>
      <c r="E968" s="84"/>
      <c r="F968" s="84"/>
      <c r="G968" s="84"/>
      <c r="H968" s="85"/>
      <c r="I968" s="86"/>
      <c r="J968" s="88"/>
    </row>
    <row r="969" spans="2:10" s="89" customFormat="1">
      <c r="B969" s="82"/>
      <c r="C969" s="149"/>
      <c r="D969" s="84"/>
      <c r="E969" s="84"/>
      <c r="F969" s="84"/>
      <c r="G969" s="84"/>
      <c r="H969" s="85"/>
      <c r="I969" s="86"/>
      <c r="J969" s="88"/>
    </row>
    <row r="970" spans="2:10" s="89" customFormat="1">
      <c r="B970" s="82"/>
      <c r="C970" s="149"/>
      <c r="D970" s="84"/>
      <c r="E970" s="84"/>
      <c r="F970" s="84"/>
      <c r="G970" s="84"/>
      <c r="H970" s="85"/>
      <c r="I970" s="86"/>
      <c r="J970" s="88"/>
    </row>
    <row r="971" spans="2:10" s="89" customFormat="1">
      <c r="B971" s="82"/>
      <c r="C971" s="149"/>
      <c r="D971" s="84"/>
      <c r="E971" s="84"/>
      <c r="F971" s="84"/>
      <c r="G971" s="84"/>
      <c r="H971" s="85"/>
      <c r="I971" s="86"/>
      <c r="J971" s="88"/>
    </row>
    <row r="972" spans="2:10" s="89" customFormat="1">
      <c r="B972" s="82"/>
      <c r="C972" s="149"/>
      <c r="D972" s="84"/>
      <c r="E972" s="84"/>
      <c r="F972" s="84"/>
      <c r="G972" s="84"/>
      <c r="H972" s="85"/>
      <c r="I972" s="86"/>
      <c r="J972" s="88"/>
    </row>
    <row r="973" spans="2:10" s="89" customFormat="1">
      <c r="B973" s="82"/>
      <c r="C973" s="149"/>
      <c r="D973" s="84"/>
      <c r="E973" s="84"/>
      <c r="F973" s="84"/>
      <c r="G973" s="84"/>
      <c r="H973" s="85"/>
      <c r="I973" s="86"/>
      <c r="J973" s="88"/>
    </row>
    <row r="974" spans="2:10" s="89" customFormat="1">
      <c r="B974" s="82"/>
      <c r="C974" s="149"/>
      <c r="D974" s="84"/>
      <c r="E974" s="84"/>
      <c r="F974" s="84"/>
      <c r="G974" s="84"/>
      <c r="H974" s="85"/>
      <c r="I974" s="86"/>
      <c r="J974" s="88"/>
    </row>
    <row r="975" spans="2:10" s="89" customFormat="1">
      <c r="B975" s="82"/>
      <c r="C975" s="149"/>
      <c r="D975" s="84"/>
      <c r="E975" s="84"/>
      <c r="F975" s="84"/>
      <c r="G975" s="84"/>
      <c r="H975" s="85"/>
      <c r="I975" s="86"/>
      <c r="J975" s="88"/>
    </row>
    <row r="976" spans="2:10" s="89" customFormat="1">
      <c r="B976" s="82"/>
      <c r="C976" s="149"/>
      <c r="D976" s="84"/>
      <c r="E976" s="84"/>
      <c r="F976" s="84"/>
      <c r="G976" s="84"/>
      <c r="H976" s="85"/>
      <c r="I976" s="86"/>
      <c r="J976" s="88"/>
    </row>
    <row r="977" spans="2:10" s="89" customFormat="1">
      <c r="B977" s="82"/>
      <c r="C977" s="149"/>
      <c r="D977" s="84"/>
      <c r="E977" s="84"/>
      <c r="F977" s="84"/>
      <c r="G977" s="84"/>
      <c r="H977" s="85"/>
      <c r="I977" s="86"/>
      <c r="J977" s="88"/>
    </row>
    <row r="978" spans="2:10" s="89" customFormat="1">
      <c r="B978" s="82"/>
      <c r="C978" s="149"/>
      <c r="D978" s="84"/>
      <c r="E978" s="84"/>
      <c r="F978" s="84"/>
      <c r="G978" s="84"/>
      <c r="H978" s="85"/>
      <c r="I978" s="86"/>
      <c r="J978" s="88"/>
    </row>
    <row r="979" spans="2:10" s="89" customFormat="1">
      <c r="B979" s="82"/>
      <c r="C979" s="149"/>
      <c r="D979" s="84"/>
      <c r="E979" s="84"/>
      <c r="F979" s="84"/>
      <c r="G979" s="84"/>
      <c r="H979" s="85"/>
      <c r="I979" s="86"/>
      <c r="J979" s="88"/>
    </row>
    <row r="980" spans="2:10" s="89" customFormat="1">
      <c r="B980" s="82"/>
      <c r="C980" s="149"/>
      <c r="D980" s="84"/>
      <c r="E980" s="84"/>
      <c r="F980" s="84"/>
      <c r="G980" s="84"/>
      <c r="H980" s="85"/>
      <c r="I980" s="86"/>
      <c r="J980" s="88"/>
    </row>
    <row r="981" spans="2:10" s="89" customFormat="1">
      <c r="B981" s="82"/>
      <c r="C981" s="149"/>
      <c r="D981" s="84"/>
      <c r="E981" s="84"/>
      <c r="F981" s="84"/>
      <c r="G981" s="84"/>
      <c r="H981" s="85"/>
      <c r="I981" s="86"/>
      <c r="J981" s="88"/>
    </row>
    <row r="982" spans="2:10" s="89" customFormat="1">
      <c r="B982" s="82"/>
      <c r="C982" s="149"/>
      <c r="D982" s="84"/>
      <c r="E982" s="84"/>
      <c r="F982" s="84"/>
      <c r="G982" s="84"/>
      <c r="H982" s="85"/>
      <c r="I982" s="86"/>
      <c r="J982" s="88"/>
    </row>
    <row r="983" spans="2:10" s="89" customFormat="1">
      <c r="B983" s="82"/>
      <c r="C983" s="149"/>
      <c r="D983" s="84"/>
      <c r="E983" s="84"/>
      <c r="F983" s="84"/>
      <c r="G983" s="84"/>
      <c r="H983" s="85"/>
      <c r="I983" s="86"/>
      <c r="J983" s="88"/>
    </row>
    <row r="984" spans="2:10" s="89" customFormat="1">
      <c r="B984" s="82"/>
      <c r="C984" s="149"/>
      <c r="D984" s="84"/>
      <c r="E984" s="84"/>
      <c r="F984" s="84"/>
      <c r="G984" s="84"/>
      <c r="H984" s="85"/>
      <c r="I984" s="86"/>
      <c r="J984" s="88"/>
    </row>
    <row r="985" spans="2:10" s="89" customFormat="1">
      <c r="B985" s="82"/>
      <c r="C985" s="149"/>
      <c r="D985" s="84"/>
      <c r="E985" s="84"/>
      <c r="F985" s="84"/>
      <c r="G985" s="84"/>
      <c r="H985" s="85"/>
      <c r="I985" s="86"/>
      <c r="J985" s="88"/>
    </row>
    <row r="986" spans="2:10" s="89" customFormat="1">
      <c r="B986" s="82"/>
      <c r="C986" s="149"/>
      <c r="D986" s="84"/>
      <c r="E986" s="84"/>
      <c r="F986" s="84"/>
      <c r="G986" s="84"/>
      <c r="H986" s="85"/>
      <c r="I986" s="86"/>
      <c r="J986" s="88"/>
    </row>
    <row r="987" spans="2:10" s="89" customFormat="1">
      <c r="B987" s="82"/>
      <c r="C987" s="149"/>
      <c r="D987" s="84"/>
      <c r="E987" s="84"/>
      <c r="F987" s="84"/>
      <c r="G987" s="84"/>
      <c r="H987" s="85"/>
      <c r="I987" s="86"/>
      <c r="J987" s="88"/>
    </row>
    <row r="988" spans="2:10" s="89" customFormat="1">
      <c r="B988" s="82"/>
      <c r="C988" s="149"/>
      <c r="D988" s="84"/>
      <c r="E988" s="84"/>
      <c r="F988" s="84"/>
      <c r="G988" s="84"/>
      <c r="H988" s="85"/>
      <c r="I988" s="86"/>
      <c r="J988" s="88"/>
    </row>
    <row r="989" spans="2:10" s="89" customFormat="1">
      <c r="B989" s="82"/>
      <c r="C989" s="149"/>
      <c r="D989" s="84"/>
      <c r="E989" s="84"/>
      <c r="F989" s="84"/>
      <c r="G989" s="84"/>
      <c r="H989" s="85"/>
      <c r="I989" s="86"/>
      <c r="J989" s="88"/>
    </row>
    <row r="990" spans="2:10" s="89" customFormat="1">
      <c r="B990" s="82"/>
      <c r="C990" s="149"/>
      <c r="D990" s="84"/>
      <c r="E990" s="84"/>
      <c r="F990" s="84"/>
      <c r="G990" s="84"/>
      <c r="H990" s="85"/>
      <c r="I990" s="86"/>
      <c r="J990" s="88"/>
    </row>
    <row r="991" spans="2:10" s="89" customFormat="1">
      <c r="B991" s="82"/>
      <c r="C991" s="149"/>
      <c r="D991" s="84"/>
      <c r="E991" s="84"/>
      <c r="F991" s="84"/>
      <c r="G991" s="84"/>
      <c r="H991" s="85"/>
      <c r="I991" s="86"/>
      <c r="J991" s="88"/>
    </row>
    <row r="992" spans="2:10" s="89" customFormat="1">
      <c r="B992" s="82"/>
      <c r="C992" s="149"/>
      <c r="D992" s="84"/>
      <c r="E992" s="84"/>
      <c r="F992" s="84"/>
      <c r="G992" s="84"/>
      <c r="H992" s="85"/>
      <c r="I992" s="86"/>
      <c r="J992" s="88"/>
    </row>
    <row r="993" spans="2:10" s="89" customFormat="1">
      <c r="B993" s="82"/>
      <c r="C993" s="149"/>
      <c r="D993" s="84"/>
      <c r="E993" s="84"/>
      <c r="F993" s="84"/>
      <c r="G993" s="84"/>
      <c r="H993" s="85"/>
      <c r="I993" s="86"/>
      <c r="J993" s="88"/>
    </row>
    <row r="994" spans="2:10" s="89" customFormat="1">
      <c r="B994" s="82"/>
      <c r="C994" s="149"/>
      <c r="D994" s="84"/>
      <c r="E994" s="84"/>
      <c r="F994" s="84"/>
      <c r="G994" s="84"/>
      <c r="H994" s="85"/>
      <c r="I994" s="86"/>
      <c r="J994" s="88"/>
    </row>
    <row r="995" spans="2:10" s="89" customFormat="1">
      <c r="B995" s="82"/>
      <c r="C995" s="149"/>
      <c r="D995" s="84"/>
      <c r="E995" s="84"/>
      <c r="F995" s="84"/>
      <c r="G995" s="84"/>
      <c r="H995" s="85"/>
      <c r="I995" s="86"/>
      <c r="J995" s="88"/>
    </row>
    <row r="996" spans="2:10" s="89" customFormat="1">
      <c r="B996" s="82"/>
      <c r="C996" s="149"/>
      <c r="D996" s="84"/>
      <c r="E996" s="84"/>
      <c r="F996" s="84"/>
      <c r="G996" s="84"/>
      <c r="H996" s="85"/>
      <c r="I996" s="86"/>
      <c r="J996" s="88"/>
    </row>
    <row r="997" spans="2:10" s="89" customFormat="1">
      <c r="B997" s="82"/>
      <c r="C997" s="149"/>
      <c r="D997" s="84"/>
      <c r="E997" s="84"/>
      <c r="F997" s="84"/>
      <c r="G997" s="84"/>
      <c r="H997" s="85"/>
      <c r="I997" s="86"/>
      <c r="J997" s="88"/>
    </row>
    <row r="998" spans="2:10" s="89" customFormat="1">
      <c r="B998" s="82"/>
      <c r="C998" s="149"/>
      <c r="D998" s="84"/>
      <c r="E998" s="84"/>
      <c r="F998" s="84"/>
      <c r="G998" s="84"/>
      <c r="H998" s="85"/>
      <c r="I998" s="86"/>
      <c r="J998" s="88"/>
    </row>
    <row r="999" spans="2:10" s="89" customFormat="1">
      <c r="B999" s="82"/>
      <c r="C999" s="149"/>
      <c r="D999" s="84"/>
      <c r="E999" s="84"/>
      <c r="F999" s="84"/>
      <c r="G999" s="84"/>
      <c r="H999" s="85"/>
      <c r="I999" s="86"/>
      <c r="J999" s="88"/>
    </row>
    <row r="1000" spans="2:10" s="89" customFormat="1">
      <c r="B1000" s="82"/>
      <c r="C1000" s="149"/>
      <c r="D1000" s="84"/>
      <c r="E1000" s="84"/>
      <c r="F1000" s="84"/>
      <c r="G1000" s="84"/>
      <c r="H1000" s="85"/>
      <c r="I1000" s="86"/>
      <c r="J1000" s="88"/>
    </row>
    <row r="1001" spans="2:10" s="89" customFormat="1">
      <c r="B1001" s="82"/>
      <c r="C1001" s="149"/>
      <c r="D1001" s="84"/>
      <c r="E1001" s="84"/>
      <c r="F1001" s="84"/>
      <c r="G1001" s="84"/>
      <c r="H1001" s="85"/>
      <c r="I1001" s="86"/>
      <c r="J1001" s="88"/>
    </row>
    <row r="1002" spans="2:10" s="89" customFormat="1">
      <c r="B1002" s="82"/>
      <c r="C1002" s="149"/>
      <c r="D1002" s="84"/>
      <c r="E1002" s="84"/>
      <c r="F1002" s="84"/>
      <c r="G1002" s="84"/>
      <c r="H1002" s="85"/>
      <c r="I1002" s="86"/>
      <c r="J1002" s="88"/>
    </row>
    <row r="1003" spans="2:10" s="89" customFormat="1">
      <c r="B1003" s="82"/>
      <c r="C1003" s="149"/>
      <c r="D1003" s="84"/>
      <c r="E1003" s="84"/>
      <c r="F1003" s="84"/>
      <c r="G1003" s="84"/>
      <c r="H1003" s="85"/>
      <c r="I1003" s="86"/>
      <c r="J1003" s="88"/>
    </row>
    <row r="1004" spans="2:10" s="89" customFormat="1">
      <c r="B1004" s="82"/>
      <c r="C1004" s="149"/>
      <c r="D1004" s="84"/>
      <c r="E1004" s="84"/>
      <c r="F1004" s="84"/>
      <c r="G1004" s="84"/>
      <c r="H1004" s="85"/>
      <c r="I1004" s="86"/>
      <c r="J1004" s="88"/>
    </row>
    <row r="1005" spans="2:10" s="89" customFormat="1">
      <c r="B1005" s="82"/>
      <c r="C1005" s="149"/>
      <c r="D1005" s="84"/>
      <c r="E1005" s="84"/>
      <c r="F1005" s="84"/>
      <c r="G1005" s="84"/>
      <c r="H1005" s="85"/>
      <c r="I1005" s="86"/>
      <c r="J1005" s="88"/>
    </row>
    <row r="1006" spans="2:10" s="89" customFormat="1">
      <c r="B1006" s="82"/>
      <c r="C1006" s="149"/>
      <c r="D1006" s="84"/>
      <c r="E1006" s="84"/>
      <c r="F1006" s="84"/>
      <c r="G1006" s="84"/>
      <c r="H1006" s="85"/>
      <c r="I1006" s="86"/>
      <c r="J1006" s="88"/>
    </row>
    <row r="1007" spans="2:10" s="89" customFormat="1">
      <c r="B1007" s="82"/>
      <c r="C1007" s="149"/>
      <c r="D1007" s="84"/>
      <c r="E1007" s="84"/>
      <c r="F1007" s="84"/>
      <c r="G1007" s="84"/>
      <c r="H1007" s="85"/>
      <c r="I1007" s="86"/>
      <c r="J1007" s="88"/>
    </row>
    <row r="1008" spans="2:10" s="89" customFormat="1">
      <c r="B1008" s="82"/>
      <c r="C1008" s="149"/>
      <c r="D1008" s="84"/>
      <c r="E1008" s="84"/>
      <c r="F1008" s="84"/>
      <c r="G1008" s="84"/>
      <c r="H1008" s="85"/>
      <c r="I1008" s="86"/>
      <c r="J1008" s="88"/>
    </row>
    <row r="1009" spans="2:10" s="89" customFormat="1">
      <c r="B1009" s="82"/>
      <c r="C1009" s="149"/>
      <c r="D1009" s="84"/>
      <c r="E1009" s="84"/>
      <c r="F1009" s="84"/>
      <c r="G1009" s="84"/>
      <c r="H1009" s="85"/>
      <c r="I1009" s="86"/>
      <c r="J1009" s="88"/>
    </row>
    <row r="1010" spans="2:10" s="89" customFormat="1">
      <c r="B1010" s="82"/>
      <c r="C1010" s="149"/>
      <c r="D1010" s="84"/>
      <c r="E1010" s="84"/>
      <c r="F1010" s="84"/>
      <c r="G1010" s="84"/>
      <c r="H1010" s="85"/>
      <c r="I1010" s="86"/>
      <c r="J1010" s="88"/>
    </row>
    <row r="1011" spans="2:10" s="89" customFormat="1">
      <c r="B1011" s="82"/>
      <c r="C1011" s="149"/>
      <c r="D1011" s="84"/>
      <c r="E1011" s="84"/>
      <c r="F1011" s="84"/>
      <c r="G1011" s="84"/>
      <c r="H1011" s="85"/>
      <c r="I1011" s="86"/>
      <c r="J1011" s="88"/>
    </row>
    <row r="1012" spans="2:10" s="89" customFormat="1">
      <c r="B1012" s="82"/>
      <c r="C1012" s="149"/>
      <c r="D1012" s="84"/>
      <c r="E1012" s="84"/>
      <c r="F1012" s="84"/>
      <c r="G1012" s="84"/>
      <c r="H1012" s="85"/>
      <c r="I1012" s="86"/>
      <c r="J1012" s="88"/>
    </row>
    <row r="1013" spans="2:10" s="89" customFormat="1">
      <c r="B1013" s="82"/>
      <c r="C1013" s="149"/>
      <c r="D1013" s="84"/>
      <c r="E1013" s="84"/>
      <c r="F1013" s="84"/>
      <c r="G1013" s="84"/>
      <c r="H1013" s="85"/>
      <c r="I1013" s="86"/>
      <c r="J1013" s="88"/>
    </row>
    <row r="1014" spans="2:10" s="89" customFormat="1">
      <c r="B1014" s="82"/>
      <c r="C1014" s="149"/>
      <c r="D1014" s="84"/>
      <c r="E1014" s="84"/>
      <c r="F1014" s="84"/>
      <c r="G1014" s="84"/>
      <c r="H1014" s="85"/>
      <c r="I1014" s="86"/>
      <c r="J1014" s="88"/>
    </row>
    <row r="1015" spans="2:10" s="89" customFormat="1">
      <c r="B1015" s="82"/>
      <c r="C1015" s="149"/>
      <c r="D1015" s="84"/>
      <c r="E1015" s="84"/>
      <c r="F1015" s="84"/>
      <c r="G1015" s="84"/>
      <c r="H1015" s="85"/>
      <c r="I1015" s="86"/>
      <c r="J1015" s="88"/>
    </row>
    <row r="1016" spans="2:10" s="89" customFormat="1">
      <c r="B1016" s="82"/>
      <c r="C1016" s="149"/>
      <c r="D1016" s="84"/>
      <c r="E1016" s="84"/>
      <c r="F1016" s="84"/>
      <c r="G1016" s="84"/>
      <c r="H1016" s="85"/>
      <c r="I1016" s="86"/>
      <c r="J1016" s="88"/>
    </row>
    <row r="1017" spans="2:10" s="89" customFormat="1">
      <c r="B1017" s="82"/>
      <c r="C1017" s="149"/>
      <c r="D1017" s="84"/>
      <c r="E1017" s="84"/>
      <c r="F1017" s="84"/>
      <c r="G1017" s="84"/>
      <c r="H1017" s="85"/>
      <c r="I1017" s="86"/>
      <c r="J1017" s="88"/>
    </row>
    <row r="1018" spans="2:10" s="89" customFormat="1">
      <c r="B1018" s="82"/>
      <c r="C1018" s="149"/>
      <c r="D1018" s="84"/>
      <c r="E1018" s="84"/>
      <c r="F1018" s="84"/>
      <c r="G1018" s="84"/>
      <c r="H1018" s="85"/>
      <c r="I1018" s="86"/>
      <c r="J1018" s="88"/>
    </row>
    <row r="1019" spans="2:10" s="89" customFormat="1">
      <c r="B1019" s="82"/>
      <c r="C1019" s="149"/>
      <c r="D1019" s="84"/>
      <c r="E1019" s="84"/>
      <c r="F1019" s="84"/>
      <c r="G1019" s="84"/>
      <c r="H1019" s="85"/>
      <c r="I1019" s="86"/>
      <c r="J1019" s="88"/>
    </row>
    <row r="1020" spans="2:10" s="89" customFormat="1">
      <c r="B1020" s="82"/>
      <c r="C1020" s="149"/>
      <c r="D1020" s="84"/>
      <c r="E1020" s="84"/>
      <c r="F1020" s="84"/>
      <c r="G1020" s="84"/>
      <c r="H1020" s="85"/>
      <c r="I1020" s="86"/>
      <c r="J1020" s="88"/>
    </row>
    <row r="1021" spans="2:10" s="89" customFormat="1">
      <c r="B1021" s="82"/>
      <c r="C1021" s="149"/>
      <c r="D1021" s="84"/>
      <c r="E1021" s="84"/>
      <c r="F1021" s="84"/>
      <c r="G1021" s="84"/>
      <c r="H1021" s="85"/>
      <c r="I1021" s="86"/>
      <c r="J1021" s="88"/>
    </row>
    <row r="1022" spans="2:10" s="89" customFormat="1">
      <c r="B1022" s="82"/>
      <c r="C1022" s="149"/>
      <c r="D1022" s="84"/>
      <c r="E1022" s="84"/>
      <c r="F1022" s="84"/>
      <c r="G1022" s="84"/>
      <c r="H1022" s="85"/>
      <c r="I1022" s="86"/>
      <c r="J1022" s="88"/>
    </row>
    <row r="1023" spans="2:10" s="89" customFormat="1">
      <c r="B1023" s="82"/>
      <c r="C1023" s="149"/>
      <c r="D1023" s="84"/>
      <c r="E1023" s="84"/>
      <c r="F1023" s="84"/>
      <c r="G1023" s="84"/>
      <c r="H1023" s="85"/>
      <c r="I1023" s="86"/>
      <c r="J1023" s="88"/>
    </row>
    <row r="1024" spans="2:10" s="89" customFormat="1">
      <c r="B1024" s="82"/>
      <c r="C1024" s="149"/>
      <c r="D1024" s="84"/>
      <c r="E1024" s="84"/>
      <c r="F1024" s="84"/>
      <c r="G1024" s="84"/>
      <c r="H1024" s="85"/>
      <c r="I1024" s="86"/>
      <c r="J1024" s="88"/>
    </row>
    <row r="1025" spans="2:10" s="89" customFormat="1">
      <c r="B1025" s="82"/>
      <c r="C1025" s="149"/>
      <c r="D1025" s="84"/>
      <c r="E1025" s="84"/>
      <c r="F1025" s="84"/>
      <c r="G1025" s="84"/>
      <c r="H1025" s="85"/>
      <c r="I1025" s="86"/>
      <c r="J1025" s="88"/>
    </row>
    <row r="1026" spans="2:10" s="89" customFormat="1">
      <c r="B1026" s="82"/>
      <c r="C1026" s="149"/>
      <c r="D1026" s="84"/>
      <c r="E1026" s="84"/>
      <c r="F1026" s="84"/>
      <c r="G1026" s="84"/>
      <c r="H1026" s="85"/>
      <c r="I1026" s="86"/>
      <c r="J1026" s="88"/>
    </row>
    <row r="1027" spans="2:10" s="89" customFormat="1">
      <c r="B1027" s="82"/>
      <c r="C1027" s="149"/>
      <c r="D1027" s="84"/>
      <c r="E1027" s="84"/>
      <c r="F1027" s="84"/>
      <c r="G1027" s="84"/>
      <c r="H1027" s="85"/>
      <c r="I1027" s="86"/>
      <c r="J1027" s="88"/>
    </row>
    <row r="1028" spans="2:10" s="89" customFormat="1">
      <c r="B1028" s="82"/>
      <c r="C1028" s="149"/>
      <c r="D1028" s="84"/>
      <c r="E1028" s="84"/>
      <c r="F1028" s="84"/>
      <c r="G1028" s="84"/>
      <c r="H1028" s="85"/>
      <c r="I1028" s="86"/>
      <c r="J1028" s="88"/>
    </row>
    <row r="1029" spans="2:10" s="89" customFormat="1">
      <c r="B1029" s="82"/>
      <c r="C1029" s="149"/>
      <c r="D1029" s="84"/>
      <c r="E1029" s="84"/>
      <c r="F1029" s="84"/>
      <c r="G1029" s="84"/>
      <c r="H1029" s="85"/>
      <c r="I1029" s="86"/>
      <c r="J1029" s="88"/>
    </row>
    <row r="1030" spans="2:10" s="89" customFormat="1">
      <c r="B1030" s="82"/>
      <c r="C1030" s="149"/>
      <c r="D1030" s="84"/>
      <c r="E1030" s="84"/>
      <c r="F1030" s="84"/>
      <c r="G1030" s="84"/>
      <c r="H1030" s="85"/>
      <c r="I1030" s="86"/>
      <c r="J1030" s="88"/>
    </row>
    <row r="1031" spans="2:10" s="89" customFormat="1">
      <c r="B1031" s="82"/>
      <c r="C1031" s="149"/>
      <c r="D1031" s="84"/>
      <c r="E1031" s="84"/>
      <c r="F1031" s="84"/>
      <c r="G1031" s="84"/>
      <c r="H1031" s="85"/>
      <c r="I1031" s="86"/>
      <c r="J1031" s="88"/>
    </row>
    <row r="1032" spans="2:10" s="89" customFormat="1">
      <c r="B1032" s="82"/>
      <c r="C1032" s="149"/>
      <c r="D1032" s="84"/>
      <c r="E1032" s="84"/>
      <c r="F1032" s="84"/>
      <c r="G1032" s="84"/>
      <c r="H1032" s="85"/>
      <c r="I1032" s="86"/>
      <c r="J1032" s="88"/>
    </row>
    <row r="1033" spans="2:10" s="89" customFormat="1">
      <c r="B1033" s="82"/>
      <c r="C1033" s="149"/>
      <c r="D1033" s="84"/>
      <c r="E1033" s="84"/>
      <c r="F1033" s="84"/>
      <c r="G1033" s="84"/>
      <c r="H1033" s="85"/>
      <c r="I1033" s="86"/>
      <c r="J1033" s="88"/>
    </row>
    <row r="1034" spans="2:10" s="89" customFormat="1">
      <c r="B1034" s="82"/>
      <c r="C1034" s="149"/>
      <c r="D1034" s="84"/>
      <c r="E1034" s="84"/>
      <c r="F1034" s="84"/>
      <c r="G1034" s="84"/>
      <c r="H1034" s="85"/>
      <c r="I1034" s="86"/>
      <c r="J1034" s="88"/>
    </row>
    <row r="1035" spans="2:10" s="89" customFormat="1">
      <c r="B1035" s="82"/>
      <c r="C1035" s="149"/>
      <c r="D1035" s="84"/>
      <c r="E1035" s="84"/>
      <c r="F1035" s="84"/>
      <c r="G1035" s="84"/>
      <c r="H1035" s="85"/>
      <c r="I1035" s="86"/>
      <c r="J1035" s="88"/>
    </row>
    <row r="1036" spans="2:10" s="89" customFormat="1">
      <c r="B1036" s="82"/>
      <c r="C1036" s="149"/>
      <c r="D1036" s="84"/>
      <c r="E1036" s="84"/>
      <c r="F1036" s="84"/>
      <c r="G1036" s="84"/>
      <c r="H1036" s="85"/>
      <c r="I1036" s="86"/>
      <c r="J1036" s="88"/>
    </row>
    <row r="1037" spans="2:10" s="89" customFormat="1">
      <c r="B1037" s="82"/>
      <c r="C1037" s="149"/>
      <c r="D1037" s="84"/>
      <c r="E1037" s="84"/>
      <c r="F1037" s="84"/>
      <c r="G1037" s="84"/>
      <c r="H1037" s="85"/>
      <c r="I1037" s="86"/>
      <c r="J1037" s="88"/>
    </row>
    <row r="1038" spans="2:10" s="89" customFormat="1">
      <c r="B1038" s="82"/>
      <c r="C1038" s="149"/>
      <c r="D1038" s="84"/>
      <c r="E1038" s="84"/>
      <c r="F1038" s="84"/>
      <c r="G1038" s="84"/>
      <c r="H1038" s="85"/>
      <c r="I1038" s="86"/>
      <c r="J1038" s="88"/>
    </row>
    <row r="1039" spans="2:10" s="89" customFormat="1">
      <c r="B1039" s="82"/>
      <c r="C1039" s="149"/>
      <c r="D1039" s="84"/>
      <c r="E1039" s="84"/>
      <c r="F1039" s="84"/>
      <c r="G1039" s="84"/>
      <c r="H1039" s="85"/>
      <c r="I1039" s="86"/>
      <c r="J1039" s="88"/>
    </row>
    <row r="1040" spans="2:10" s="89" customFormat="1">
      <c r="B1040" s="82"/>
      <c r="C1040" s="149"/>
      <c r="D1040" s="84"/>
      <c r="E1040" s="84"/>
      <c r="F1040" s="84"/>
      <c r="G1040" s="84"/>
      <c r="H1040" s="85"/>
      <c r="I1040" s="86"/>
      <c r="J1040" s="88"/>
    </row>
    <row r="1041" spans="2:10" s="89" customFormat="1">
      <c r="B1041" s="82"/>
      <c r="C1041" s="149"/>
      <c r="D1041" s="84"/>
      <c r="E1041" s="84"/>
      <c r="F1041" s="84"/>
      <c r="G1041" s="84"/>
      <c r="H1041" s="85"/>
      <c r="I1041" s="86"/>
      <c r="J1041" s="88"/>
    </row>
    <row r="1042" spans="2:10" s="89" customFormat="1">
      <c r="B1042" s="82"/>
      <c r="C1042" s="149"/>
      <c r="D1042" s="84"/>
      <c r="E1042" s="84"/>
      <c r="F1042" s="84"/>
      <c r="G1042" s="84"/>
      <c r="H1042" s="85"/>
      <c r="I1042" s="86"/>
      <c r="J1042" s="88"/>
    </row>
    <row r="1043" spans="2:10" s="89" customFormat="1">
      <c r="B1043" s="82"/>
      <c r="C1043" s="149"/>
      <c r="D1043" s="84"/>
      <c r="E1043" s="84"/>
      <c r="F1043" s="84"/>
      <c r="G1043" s="84"/>
      <c r="H1043" s="85"/>
      <c r="I1043" s="86"/>
      <c r="J1043" s="88"/>
    </row>
    <row r="1044" spans="2:10" s="89" customFormat="1">
      <c r="B1044" s="82"/>
      <c r="C1044" s="149"/>
      <c r="D1044" s="84"/>
      <c r="E1044" s="84"/>
      <c r="F1044" s="84"/>
      <c r="G1044" s="84"/>
      <c r="H1044" s="85"/>
      <c r="I1044" s="86"/>
      <c r="J1044" s="88"/>
    </row>
    <row r="1045" spans="2:10" s="89" customFormat="1">
      <c r="B1045" s="82"/>
      <c r="C1045" s="149"/>
      <c r="D1045" s="84"/>
      <c r="E1045" s="84"/>
      <c r="F1045" s="84"/>
      <c r="G1045" s="84"/>
      <c r="H1045" s="85"/>
      <c r="I1045" s="86"/>
      <c r="J1045" s="88"/>
    </row>
    <row r="1046" spans="2:10" s="89" customFormat="1">
      <c r="B1046" s="82"/>
      <c r="C1046" s="149"/>
      <c r="D1046" s="84"/>
      <c r="E1046" s="84"/>
      <c r="F1046" s="84"/>
      <c r="G1046" s="84"/>
      <c r="H1046" s="85"/>
      <c r="I1046" s="86"/>
      <c r="J1046" s="88"/>
    </row>
    <row r="1047" spans="2:10" s="89" customFormat="1">
      <c r="B1047" s="82"/>
      <c r="C1047" s="149"/>
      <c r="D1047" s="84"/>
      <c r="E1047" s="84"/>
      <c r="F1047" s="84"/>
      <c r="G1047" s="84"/>
      <c r="H1047" s="85"/>
      <c r="I1047" s="86"/>
      <c r="J1047" s="88"/>
    </row>
    <row r="1048" spans="2:10" s="89" customFormat="1">
      <c r="B1048" s="82"/>
      <c r="C1048" s="149"/>
      <c r="D1048" s="84"/>
      <c r="E1048" s="84"/>
      <c r="F1048" s="84"/>
      <c r="G1048" s="84"/>
      <c r="H1048" s="85"/>
      <c r="I1048" s="86"/>
      <c r="J1048" s="88"/>
    </row>
    <row r="1049" spans="2:10" s="89" customFormat="1">
      <c r="B1049" s="82"/>
      <c r="C1049" s="149"/>
      <c r="D1049" s="84"/>
      <c r="E1049" s="84"/>
      <c r="F1049" s="84"/>
      <c r="G1049" s="84"/>
      <c r="H1049" s="85"/>
      <c r="I1049" s="86"/>
      <c r="J1049" s="88"/>
    </row>
    <row r="1050" spans="2:10" s="89" customFormat="1">
      <c r="B1050" s="82"/>
      <c r="C1050" s="149"/>
      <c r="D1050" s="84"/>
      <c r="E1050" s="84"/>
      <c r="F1050" s="84"/>
      <c r="G1050" s="84"/>
      <c r="H1050" s="85"/>
      <c r="I1050" s="86"/>
      <c r="J1050" s="88"/>
    </row>
    <row r="1051" spans="2:10" s="89" customFormat="1">
      <c r="B1051" s="82"/>
      <c r="C1051" s="149"/>
      <c r="D1051" s="84"/>
      <c r="E1051" s="84"/>
      <c r="F1051" s="84"/>
      <c r="G1051" s="84"/>
      <c r="H1051" s="85"/>
      <c r="I1051" s="86"/>
      <c r="J1051" s="88"/>
    </row>
    <row r="1052" spans="2:10" s="89" customFormat="1">
      <c r="B1052" s="82"/>
      <c r="C1052" s="149"/>
      <c r="D1052" s="84"/>
      <c r="E1052" s="84"/>
      <c r="F1052" s="84"/>
      <c r="G1052" s="84"/>
      <c r="H1052" s="85"/>
      <c r="I1052" s="86"/>
      <c r="J1052" s="88"/>
    </row>
    <row r="1053" spans="2:10" s="89" customFormat="1">
      <c r="B1053" s="82"/>
      <c r="C1053" s="149"/>
      <c r="D1053" s="84"/>
      <c r="E1053" s="84"/>
      <c r="F1053" s="84"/>
      <c r="G1053" s="84"/>
      <c r="H1053" s="85"/>
      <c r="I1053" s="86"/>
      <c r="J1053" s="88"/>
    </row>
    <row r="1054" spans="2:10" s="89" customFormat="1">
      <c r="B1054" s="82"/>
      <c r="C1054" s="149"/>
      <c r="D1054" s="84"/>
      <c r="E1054" s="84"/>
      <c r="F1054" s="84"/>
      <c r="G1054" s="84"/>
      <c r="H1054" s="85"/>
      <c r="I1054" s="86"/>
      <c r="J1054" s="88"/>
    </row>
    <row r="1055" spans="2:10" s="89" customFormat="1">
      <c r="B1055" s="82"/>
      <c r="C1055" s="149"/>
      <c r="D1055" s="84"/>
      <c r="E1055" s="84"/>
      <c r="F1055" s="84"/>
      <c r="G1055" s="84"/>
      <c r="H1055" s="85"/>
      <c r="I1055" s="86"/>
      <c r="J1055" s="88"/>
    </row>
    <row r="1056" spans="2:10" s="89" customFormat="1">
      <c r="B1056" s="82"/>
      <c r="C1056" s="149"/>
      <c r="D1056" s="84"/>
      <c r="E1056" s="84"/>
      <c r="F1056" s="84"/>
      <c r="G1056" s="84"/>
      <c r="H1056" s="85"/>
      <c r="I1056" s="86"/>
      <c r="J1056" s="88"/>
    </row>
    <row r="1057" spans="2:10" s="89" customFormat="1">
      <c r="B1057" s="82"/>
      <c r="C1057" s="149"/>
      <c r="D1057" s="84"/>
      <c r="E1057" s="84"/>
      <c r="F1057" s="84"/>
      <c r="G1057" s="84"/>
      <c r="H1057" s="85"/>
      <c r="I1057" s="86"/>
      <c r="J1057" s="88"/>
    </row>
    <row r="1058" spans="2:10" s="89" customFormat="1">
      <c r="B1058" s="82"/>
      <c r="C1058" s="149"/>
      <c r="D1058" s="84"/>
      <c r="E1058" s="84"/>
      <c r="F1058" s="84"/>
      <c r="G1058" s="84"/>
      <c r="H1058" s="85"/>
      <c r="I1058" s="86"/>
      <c r="J1058" s="88"/>
    </row>
    <row r="1059" spans="2:10" s="89" customFormat="1">
      <c r="B1059" s="82"/>
      <c r="C1059" s="149"/>
      <c r="D1059" s="84"/>
      <c r="E1059" s="84"/>
      <c r="F1059" s="84"/>
      <c r="G1059" s="84"/>
      <c r="H1059" s="85"/>
      <c r="I1059" s="86"/>
      <c r="J1059" s="88"/>
    </row>
    <row r="1060" spans="2:10" s="89" customFormat="1">
      <c r="B1060" s="82"/>
      <c r="C1060" s="149"/>
      <c r="D1060" s="84"/>
      <c r="E1060" s="84"/>
      <c r="F1060" s="84"/>
      <c r="G1060" s="84"/>
      <c r="H1060" s="85"/>
      <c r="I1060" s="86"/>
      <c r="J1060" s="88"/>
    </row>
    <row r="1061" spans="2:10" s="89" customFormat="1">
      <c r="B1061" s="82"/>
      <c r="C1061" s="149"/>
      <c r="D1061" s="84"/>
      <c r="E1061" s="84"/>
      <c r="F1061" s="84"/>
      <c r="G1061" s="84"/>
      <c r="H1061" s="85"/>
      <c r="I1061" s="86"/>
      <c r="J1061" s="88"/>
    </row>
    <row r="1062" spans="2:10" s="89" customFormat="1">
      <c r="B1062" s="82"/>
      <c r="C1062" s="149"/>
      <c r="D1062" s="84"/>
      <c r="E1062" s="84"/>
      <c r="F1062" s="84"/>
      <c r="G1062" s="84"/>
      <c r="H1062" s="85"/>
      <c r="I1062" s="86"/>
      <c r="J1062" s="88"/>
    </row>
    <row r="1063" spans="2:10" s="89" customFormat="1">
      <c r="B1063" s="82"/>
      <c r="C1063" s="149"/>
      <c r="D1063" s="84"/>
      <c r="E1063" s="84"/>
      <c r="F1063" s="84"/>
      <c r="G1063" s="84"/>
      <c r="H1063" s="85"/>
      <c r="I1063" s="86"/>
      <c r="J1063" s="88"/>
    </row>
    <row r="1064" spans="2:10" s="89" customFormat="1">
      <c r="B1064" s="82"/>
      <c r="C1064" s="149"/>
      <c r="D1064" s="84"/>
      <c r="E1064" s="84"/>
      <c r="F1064" s="84"/>
      <c r="G1064" s="84"/>
      <c r="H1064" s="85"/>
      <c r="I1064" s="86"/>
      <c r="J1064" s="88"/>
    </row>
    <row r="1065" spans="2:10" s="89" customFormat="1">
      <c r="B1065" s="82"/>
      <c r="C1065" s="149"/>
      <c r="D1065" s="84"/>
      <c r="E1065" s="84"/>
      <c r="F1065" s="84"/>
      <c r="G1065" s="84"/>
      <c r="H1065" s="85"/>
      <c r="I1065" s="86"/>
      <c r="J1065" s="88"/>
    </row>
    <row r="1066" spans="2:10" s="89" customFormat="1">
      <c r="B1066" s="82"/>
      <c r="C1066" s="149"/>
      <c r="D1066" s="84"/>
      <c r="E1066" s="84"/>
      <c r="F1066" s="84"/>
      <c r="G1066" s="84"/>
      <c r="H1066" s="85"/>
      <c r="I1066" s="86"/>
      <c r="J1066" s="88"/>
    </row>
    <row r="1067" spans="2:10" s="89" customFormat="1">
      <c r="B1067" s="82"/>
      <c r="C1067" s="149"/>
      <c r="D1067" s="84"/>
      <c r="E1067" s="84"/>
      <c r="F1067" s="84"/>
      <c r="G1067" s="84"/>
      <c r="H1067" s="85"/>
      <c r="I1067" s="86"/>
      <c r="J1067" s="88"/>
    </row>
    <row r="1068" spans="2:10" s="89" customFormat="1">
      <c r="B1068" s="82"/>
      <c r="C1068" s="149"/>
      <c r="D1068" s="84"/>
      <c r="E1068" s="84"/>
      <c r="F1068" s="84"/>
      <c r="G1068" s="84"/>
      <c r="H1068" s="85"/>
      <c r="I1068" s="86"/>
      <c r="J1068" s="88"/>
    </row>
    <row r="1069" spans="2:10" s="89" customFormat="1">
      <c r="B1069" s="82"/>
      <c r="C1069" s="149"/>
      <c r="D1069" s="84"/>
      <c r="E1069" s="84"/>
      <c r="F1069" s="84"/>
      <c r="G1069" s="84"/>
      <c r="H1069" s="85"/>
      <c r="I1069" s="86"/>
      <c r="J1069" s="88"/>
    </row>
    <row r="1070" spans="2:10" s="89" customFormat="1">
      <c r="B1070" s="82"/>
      <c r="C1070" s="149"/>
      <c r="D1070" s="84"/>
      <c r="E1070" s="84"/>
      <c r="F1070" s="84"/>
      <c r="G1070" s="84"/>
      <c r="H1070" s="85"/>
      <c r="I1070" s="86"/>
      <c r="J1070" s="88"/>
    </row>
    <row r="1071" spans="2:10" s="89" customFormat="1">
      <c r="B1071" s="82"/>
      <c r="C1071" s="149"/>
      <c r="D1071" s="84"/>
      <c r="E1071" s="84"/>
      <c r="F1071" s="84"/>
      <c r="G1071" s="84"/>
      <c r="H1071" s="85"/>
      <c r="I1071" s="86"/>
      <c r="J1071" s="88"/>
    </row>
    <row r="1072" spans="2:10" s="89" customFormat="1">
      <c r="B1072" s="82"/>
      <c r="C1072" s="149"/>
      <c r="D1072" s="84"/>
      <c r="E1072" s="84"/>
      <c r="F1072" s="84"/>
      <c r="G1072" s="84"/>
      <c r="H1072" s="85"/>
      <c r="I1072" s="86"/>
      <c r="J1072" s="88"/>
    </row>
    <row r="1073" spans="2:10" s="89" customFormat="1">
      <c r="B1073" s="82"/>
      <c r="C1073" s="149"/>
      <c r="D1073" s="84"/>
      <c r="E1073" s="84"/>
      <c r="F1073" s="84"/>
      <c r="G1073" s="84"/>
      <c r="H1073" s="85"/>
      <c r="I1073" s="86"/>
      <c r="J1073" s="88"/>
    </row>
    <row r="1074" spans="2:10" s="89" customFormat="1">
      <c r="B1074" s="82"/>
      <c r="C1074" s="149"/>
      <c r="D1074" s="84"/>
      <c r="E1074" s="84"/>
      <c r="F1074" s="84"/>
      <c r="G1074" s="84"/>
      <c r="H1074" s="85"/>
      <c r="I1074" s="86"/>
      <c r="J1074" s="88"/>
    </row>
    <row r="1075" spans="2:10" s="89" customFormat="1">
      <c r="B1075" s="82"/>
      <c r="C1075" s="149"/>
      <c r="D1075" s="84"/>
      <c r="E1075" s="84"/>
      <c r="F1075" s="84"/>
      <c r="G1075" s="84"/>
      <c r="H1075" s="85"/>
      <c r="I1075" s="86"/>
      <c r="J1075" s="88"/>
    </row>
    <row r="1076" spans="2:10" s="89" customFormat="1">
      <c r="B1076" s="82"/>
      <c r="C1076" s="149"/>
      <c r="D1076" s="84"/>
      <c r="E1076" s="84"/>
      <c r="F1076" s="84"/>
      <c r="G1076" s="84"/>
      <c r="H1076" s="85"/>
      <c r="I1076" s="86"/>
      <c r="J1076" s="88"/>
    </row>
    <row r="1077" spans="2:10" s="89" customFormat="1">
      <c r="B1077" s="82"/>
      <c r="C1077" s="149"/>
      <c r="D1077" s="84"/>
      <c r="E1077" s="84"/>
      <c r="F1077" s="84"/>
      <c r="G1077" s="84"/>
      <c r="H1077" s="85"/>
      <c r="I1077" s="86"/>
      <c r="J1077" s="88"/>
    </row>
    <row r="1078" spans="2:10" s="89" customFormat="1">
      <c r="B1078" s="82"/>
      <c r="C1078" s="149"/>
      <c r="D1078" s="84"/>
      <c r="E1078" s="84"/>
      <c r="F1078" s="84"/>
      <c r="G1078" s="84"/>
      <c r="H1078" s="85"/>
      <c r="I1078" s="86"/>
      <c r="J1078" s="88"/>
    </row>
    <row r="1079" spans="2:10" s="89" customFormat="1">
      <c r="B1079" s="82"/>
      <c r="C1079" s="149"/>
      <c r="D1079" s="84"/>
      <c r="E1079" s="84"/>
      <c r="F1079" s="84"/>
      <c r="G1079" s="84"/>
      <c r="H1079" s="85"/>
      <c r="I1079" s="86"/>
      <c r="J1079" s="88"/>
    </row>
    <row r="1080" spans="2:10" s="89" customFormat="1">
      <c r="B1080" s="82"/>
      <c r="C1080" s="149"/>
      <c r="D1080" s="84"/>
      <c r="E1080" s="84"/>
      <c r="F1080" s="84"/>
      <c r="G1080" s="84"/>
      <c r="H1080" s="85"/>
      <c r="I1080" s="86"/>
      <c r="J1080" s="88"/>
    </row>
    <row r="1081" spans="2:10" s="89" customFormat="1">
      <c r="B1081" s="82"/>
      <c r="C1081" s="149"/>
      <c r="D1081" s="84"/>
      <c r="E1081" s="84"/>
      <c r="F1081" s="84"/>
      <c r="G1081" s="84"/>
      <c r="H1081" s="85"/>
      <c r="I1081" s="86"/>
      <c r="J1081" s="88"/>
    </row>
    <row r="1082" spans="2:10" s="89" customFormat="1">
      <c r="B1082" s="82"/>
      <c r="C1082" s="149"/>
      <c r="D1082" s="84"/>
      <c r="E1082" s="84"/>
      <c r="F1082" s="84"/>
      <c r="G1082" s="84"/>
      <c r="H1082" s="85"/>
      <c r="I1082" s="86"/>
      <c r="J1082" s="88"/>
    </row>
    <row r="1083" spans="2:10" s="89" customFormat="1">
      <c r="B1083" s="82"/>
      <c r="C1083" s="149"/>
      <c r="D1083" s="84"/>
      <c r="E1083" s="84"/>
      <c r="F1083" s="84"/>
      <c r="G1083" s="84"/>
      <c r="H1083" s="85"/>
      <c r="I1083" s="86"/>
      <c r="J1083" s="88"/>
    </row>
    <row r="1084" spans="2:10" s="89" customFormat="1">
      <c r="B1084" s="82"/>
      <c r="C1084" s="149"/>
      <c r="D1084" s="84"/>
      <c r="E1084" s="84"/>
      <c r="F1084" s="84"/>
      <c r="G1084" s="84"/>
      <c r="H1084" s="85"/>
      <c r="I1084" s="86"/>
      <c r="J1084" s="88"/>
    </row>
    <row r="1085" spans="2:10" s="89" customFormat="1">
      <c r="B1085" s="82"/>
      <c r="C1085" s="149"/>
      <c r="D1085" s="84"/>
      <c r="E1085" s="84"/>
      <c r="F1085" s="84"/>
      <c r="G1085" s="84"/>
      <c r="H1085" s="85"/>
      <c r="I1085" s="86"/>
      <c r="J1085" s="88"/>
    </row>
    <row r="1086" spans="2:10" s="89" customFormat="1">
      <c r="B1086" s="82"/>
      <c r="C1086" s="149"/>
      <c r="D1086" s="84"/>
      <c r="E1086" s="84"/>
      <c r="F1086" s="84"/>
      <c r="G1086" s="84"/>
      <c r="H1086" s="85"/>
      <c r="I1086" s="86"/>
      <c r="J1086" s="88"/>
    </row>
    <row r="1087" spans="2:10" s="89" customFormat="1">
      <c r="B1087" s="82"/>
      <c r="C1087" s="149"/>
      <c r="D1087" s="84"/>
      <c r="E1087" s="84"/>
      <c r="F1087" s="84"/>
      <c r="G1087" s="84"/>
      <c r="H1087" s="85"/>
      <c r="I1087" s="86"/>
      <c r="J1087" s="88"/>
    </row>
    <row r="1088" spans="2:10" s="89" customFormat="1">
      <c r="B1088" s="82"/>
      <c r="C1088" s="149"/>
      <c r="D1088" s="84"/>
      <c r="E1088" s="84"/>
      <c r="F1088" s="84"/>
      <c r="G1088" s="84"/>
      <c r="H1088" s="85"/>
      <c r="I1088" s="86"/>
      <c r="J1088" s="88"/>
    </row>
    <row r="1089" spans="2:10" s="89" customFormat="1">
      <c r="B1089" s="82"/>
      <c r="C1089" s="149"/>
      <c r="D1089" s="84"/>
      <c r="E1089" s="84"/>
      <c r="F1089" s="84"/>
      <c r="G1089" s="84"/>
      <c r="H1089" s="85"/>
      <c r="I1089" s="86"/>
      <c r="J1089" s="88"/>
    </row>
    <row r="1090" spans="2:10" s="89" customFormat="1">
      <c r="B1090" s="82"/>
      <c r="C1090" s="149"/>
      <c r="D1090" s="84"/>
      <c r="E1090" s="84"/>
      <c r="F1090" s="84"/>
      <c r="G1090" s="84"/>
      <c r="H1090" s="85"/>
      <c r="I1090" s="86"/>
      <c r="J1090" s="88"/>
    </row>
    <row r="1091" spans="2:10" s="89" customFormat="1">
      <c r="B1091" s="82"/>
      <c r="C1091" s="149"/>
      <c r="D1091" s="84"/>
      <c r="E1091" s="84"/>
      <c r="F1091" s="84"/>
      <c r="G1091" s="84"/>
      <c r="H1091" s="85"/>
      <c r="I1091" s="86"/>
      <c r="J1091" s="88"/>
    </row>
    <row r="1092" spans="2:10" s="89" customFormat="1">
      <c r="B1092" s="82"/>
      <c r="C1092" s="149"/>
      <c r="D1092" s="84"/>
      <c r="E1092" s="84"/>
      <c r="F1092" s="84"/>
      <c r="G1092" s="84"/>
      <c r="H1092" s="85"/>
      <c r="I1092" s="86"/>
      <c r="J1092" s="88"/>
    </row>
    <row r="1093" spans="2:10" s="89" customFormat="1">
      <c r="B1093" s="82"/>
      <c r="C1093" s="149"/>
      <c r="D1093" s="84"/>
      <c r="E1093" s="84"/>
      <c r="F1093" s="84"/>
      <c r="G1093" s="84"/>
      <c r="H1093" s="85"/>
      <c r="I1093" s="86"/>
      <c r="J1093" s="88"/>
    </row>
    <row r="1094" spans="2:10" s="89" customFormat="1">
      <c r="B1094" s="82"/>
      <c r="C1094" s="149"/>
      <c r="D1094" s="84"/>
      <c r="E1094" s="84"/>
      <c r="F1094" s="84"/>
      <c r="G1094" s="84"/>
      <c r="H1094" s="85"/>
      <c r="I1094" s="86"/>
      <c r="J1094" s="88"/>
    </row>
    <row r="1095" spans="2:10" s="89" customFormat="1">
      <c r="B1095" s="82"/>
      <c r="C1095" s="149"/>
      <c r="D1095" s="84"/>
      <c r="E1095" s="84"/>
      <c r="F1095" s="84"/>
      <c r="G1095" s="84"/>
      <c r="H1095" s="85"/>
      <c r="I1095" s="86"/>
      <c r="J1095" s="88"/>
    </row>
    <row r="1096" spans="2:10" s="89" customFormat="1">
      <c r="B1096" s="82"/>
      <c r="C1096" s="149"/>
      <c r="D1096" s="84"/>
      <c r="E1096" s="84"/>
      <c r="F1096" s="84"/>
      <c r="G1096" s="84"/>
      <c r="H1096" s="85"/>
      <c r="I1096" s="86"/>
      <c r="J1096" s="88"/>
    </row>
    <row r="1097" spans="2:10" s="89" customFormat="1">
      <c r="B1097" s="82"/>
      <c r="C1097" s="149"/>
      <c r="D1097" s="84"/>
      <c r="E1097" s="84"/>
      <c r="F1097" s="84"/>
      <c r="G1097" s="84"/>
      <c r="H1097" s="85"/>
      <c r="I1097" s="86"/>
      <c r="J1097" s="88"/>
    </row>
    <row r="1098" spans="2:10" s="89" customFormat="1">
      <c r="B1098" s="82"/>
      <c r="C1098" s="149"/>
      <c r="D1098" s="84"/>
      <c r="E1098" s="84"/>
      <c r="F1098" s="84"/>
      <c r="G1098" s="84"/>
      <c r="H1098" s="85"/>
      <c r="I1098" s="86"/>
      <c r="J1098" s="88"/>
    </row>
    <row r="1099" spans="2:10" s="89" customFormat="1">
      <c r="B1099" s="82"/>
      <c r="C1099" s="149"/>
      <c r="D1099" s="84"/>
      <c r="E1099" s="84"/>
      <c r="F1099" s="84"/>
      <c r="G1099" s="84"/>
      <c r="H1099" s="85"/>
      <c r="I1099" s="86"/>
      <c r="J1099" s="88"/>
    </row>
    <row r="1100" spans="2:10" s="89" customFormat="1">
      <c r="B1100" s="82"/>
      <c r="C1100" s="149"/>
      <c r="D1100" s="84"/>
      <c r="E1100" s="84"/>
      <c r="F1100" s="84"/>
      <c r="G1100" s="84"/>
      <c r="H1100" s="85"/>
      <c r="I1100" s="86"/>
      <c r="J1100" s="88"/>
    </row>
    <row r="1101" spans="2:10" s="89" customFormat="1">
      <c r="B1101" s="82"/>
      <c r="C1101" s="149"/>
      <c r="D1101" s="84"/>
      <c r="E1101" s="84"/>
      <c r="F1101" s="84"/>
      <c r="G1101" s="84"/>
      <c r="H1101" s="85"/>
      <c r="I1101" s="86"/>
      <c r="J1101" s="88"/>
    </row>
    <row r="1102" spans="2:10" s="89" customFormat="1">
      <c r="B1102" s="82"/>
      <c r="C1102" s="149"/>
      <c r="D1102" s="84"/>
      <c r="E1102" s="84"/>
      <c r="F1102" s="84"/>
      <c r="G1102" s="84"/>
      <c r="H1102" s="85"/>
      <c r="I1102" s="86"/>
      <c r="J1102" s="88"/>
    </row>
    <row r="1103" spans="2:10" s="89" customFormat="1">
      <c r="B1103" s="82"/>
      <c r="C1103" s="149"/>
      <c r="D1103" s="84"/>
      <c r="E1103" s="84"/>
      <c r="F1103" s="84"/>
      <c r="G1103" s="84"/>
      <c r="H1103" s="85"/>
      <c r="I1103" s="86"/>
      <c r="J1103" s="88"/>
    </row>
    <row r="1104" spans="2:10" s="89" customFormat="1">
      <c r="B1104" s="82"/>
      <c r="C1104" s="149"/>
      <c r="D1104" s="84"/>
      <c r="E1104" s="84"/>
      <c r="F1104" s="84"/>
      <c r="G1104" s="84"/>
      <c r="H1104" s="85"/>
      <c r="I1104" s="86"/>
      <c r="J1104" s="88"/>
    </row>
    <row r="1105" spans="2:10" s="89" customFormat="1">
      <c r="B1105" s="82"/>
      <c r="C1105" s="149"/>
      <c r="D1105" s="84"/>
      <c r="E1105" s="84"/>
      <c r="F1105" s="84"/>
      <c r="G1105" s="84"/>
      <c r="H1105" s="85"/>
      <c r="I1105" s="86"/>
      <c r="J1105" s="88"/>
    </row>
    <row r="1106" spans="2:10" s="89" customFormat="1">
      <c r="B1106" s="82"/>
      <c r="C1106" s="149"/>
      <c r="D1106" s="84"/>
      <c r="E1106" s="84"/>
      <c r="F1106" s="84"/>
      <c r="G1106" s="84"/>
      <c r="H1106" s="85"/>
      <c r="I1106" s="86"/>
      <c r="J1106" s="88"/>
    </row>
    <row r="1107" spans="2:10" s="89" customFormat="1">
      <c r="B1107" s="82"/>
      <c r="C1107" s="149"/>
      <c r="D1107" s="84"/>
      <c r="E1107" s="84"/>
      <c r="F1107" s="84"/>
      <c r="G1107" s="84"/>
      <c r="H1107" s="85"/>
      <c r="I1107" s="86"/>
      <c r="J1107" s="88"/>
    </row>
    <row r="1108" spans="2:10" s="89" customFormat="1">
      <c r="B1108" s="82"/>
      <c r="C1108" s="149"/>
      <c r="D1108" s="84"/>
      <c r="E1108" s="84"/>
      <c r="F1108" s="84"/>
      <c r="G1108" s="84"/>
      <c r="H1108" s="85"/>
      <c r="I1108" s="86"/>
      <c r="J1108" s="88"/>
    </row>
    <row r="1109" spans="2:10" s="89" customFormat="1">
      <c r="B1109" s="82"/>
      <c r="C1109" s="149"/>
      <c r="D1109" s="84"/>
      <c r="E1109" s="84"/>
      <c r="F1109" s="84"/>
      <c r="G1109" s="84"/>
      <c r="H1109" s="85"/>
      <c r="I1109" s="86"/>
      <c r="J1109" s="88"/>
    </row>
    <row r="1110" spans="2:10" s="89" customFormat="1">
      <c r="B1110" s="82"/>
      <c r="C1110" s="149"/>
      <c r="D1110" s="84"/>
      <c r="E1110" s="84"/>
      <c r="F1110" s="84"/>
      <c r="G1110" s="84"/>
      <c r="H1110" s="85"/>
      <c r="I1110" s="86"/>
      <c r="J1110" s="88"/>
    </row>
    <row r="1111" spans="2:10" s="89" customFormat="1">
      <c r="B1111" s="82"/>
      <c r="C1111" s="149"/>
      <c r="D1111" s="84"/>
      <c r="E1111" s="84"/>
      <c r="F1111" s="84"/>
      <c r="G1111" s="84"/>
      <c r="H1111" s="85"/>
      <c r="I1111" s="86"/>
      <c r="J1111" s="88"/>
    </row>
    <row r="1112" spans="2:10" s="89" customFormat="1">
      <c r="B1112" s="82"/>
      <c r="C1112" s="149"/>
      <c r="D1112" s="84"/>
      <c r="E1112" s="84"/>
      <c r="F1112" s="84"/>
      <c r="G1112" s="84"/>
      <c r="H1112" s="85"/>
      <c r="I1112" s="86"/>
      <c r="J1112" s="88"/>
    </row>
    <row r="1113" spans="2:10" s="89" customFormat="1">
      <c r="B1113" s="82"/>
      <c r="C1113" s="149"/>
      <c r="D1113" s="84"/>
      <c r="E1113" s="84"/>
      <c r="F1113" s="84"/>
      <c r="G1113" s="84"/>
      <c r="H1113" s="85"/>
      <c r="I1113" s="86"/>
      <c r="J1113" s="88"/>
    </row>
    <row r="1114" spans="2:10" s="89" customFormat="1">
      <c r="B1114" s="82"/>
      <c r="C1114" s="149"/>
      <c r="D1114" s="84"/>
      <c r="E1114" s="84"/>
      <c r="F1114" s="84"/>
      <c r="G1114" s="84"/>
      <c r="H1114" s="85"/>
      <c r="I1114" s="86"/>
      <c r="J1114" s="88"/>
    </row>
    <row r="1115" spans="2:10" s="89" customFormat="1">
      <c r="B1115" s="82"/>
      <c r="C1115" s="149"/>
      <c r="D1115" s="84"/>
      <c r="E1115" s="84"/>
      <c r="F1115" s="84"/>
      <c r="G1115" s="84"/>
      <c r="H1115" s="85"/>
      <c r="I1115" s="86"/>
      <c r="J1115" s="88"/>
    </row>
    <row r="1116" spans="2:10" s="89" customFormat="1">
      <c r="B1116" s="82"/>
      <c r="C1116" s="149"/>
      <c r="D1116" s="84"/>
      <c r="E1116" s="84"/>
      <c r="F1116" s="84"/>
      <c r="G1116" s="84"/>
      <c r="H1116" s="85"/>
      <c r="I1116" s="86"/>
      <c r="J1116" s="88"/>
    </row>
    <row r="1117" spans="2:10" s="89" customFormat="1">
      <c r="B1117" s="82"/>
      <c r="C1117" s="149"/>
      <c r="D1117" s="84"/>
      <c r="E1117" s="84"/>
      <c r="F1117" s="84"/>
      <c r="G1117" s="84"/>
      <c r="H1117" s="85"/>
      <c r="I1117" s="86"/>
      <c r="J1117" s="88"/>
    </row>
    <row r="1118" spans="2:10" s="89" customFormat="1">
      <c r="B1118" s="82"/>
      <c r="C1118" s="149"/>
      <c r="D1118" s="84"/>
      <c r="E1118" s="84"/>
      <c r="F1118" s="84"/>
      <c r="G1118" s="84"/>
      <c r="H1118" s="85"/>
      <c r="I1118" s="86"/>
      <c r="J1118" s="88"/>
    </row>
    <row r="1119" spans="2:10" s="89" customFormat="1">
      <c r="B1119" s="82"/>
      <c r="C1119" s="149"/>
      <c r="D1119" s="84"/>
      <c r="E1119" s="84"/>
      <c r="F1119" s="84"/>
      <c r="G1119" s="84"/>
      <c r="H1119" s="85"/>
      <c r="I1119" s="86"/>
      <c r="J1119" s="88"/>
    </row>
    <row r="1120" spans="2:10" s="89" customFormat="1">
      <c r="B1120" s="82"/>
      <c r="C1120" s="149"/>
      <c r="D1120" s="84"/>
      <c r="E1120" s="84"/>
      <c r="F1120" s="84"/>
      <c r="G1120" s="84"/>
      <c r="H1120" s="85"/>
      <c r="I1120" s="86"/>
      <c r="J1120" s="88"/>
    </row>
    <row r="1121" spans="2:10" s="89" customFormat="1">
      <c r="B1121" s="82"/>
      <c r="C1121" s="149"/>
      <c r="D1121" s="84"/>
      <c r="E1121" s="84"/>
      <c r="F1121" s="84"/>
      <c r="G1121" s="84"/>
      <c r="H1121" s="85"/>
      <c r="I1121" s="86"/>
      <c r="J1121" s="88"/>
    </row>
    <row r="1122" spans="2:10" s="89" customFormat="1">
      <c r="B1122" s="82"/>
      <c r="C1122" s="149"/>
      <c r="D1122" s="84"/>
      <c r="E1122" s="84"/>
      <c r="F1122" s="84"/>
      <c r="G1122" s="84"/>
      <c r="H1122" s="85"/>
      <c r="I1122" s="86"/>
      <c r="J1122" s="88"/>
    </row>
    <row r="1123" spans="2:10" s="89" customFormat="1">
      <c r="B1123" s="82"/>
      <c r="C1123" s="149"/>
      <c r="D1123" s="84"/>
      <c r="E1123" s="84"/>
      <c r="F1123" s="84"/>
      <c r="G1123" s="84"/>
      <c r="H1123" s="85"/>
      <c r="I1123" s="86"/>
      <c r="J1123" s="88"/>
    </row>
    <row r="1124" spans="2:10" s="89" customFormat="1">
      <c r="B1124" s="82"/>
      <c r="C1124" s="149"/>
      <c r="D1124" s="84"/>
      <c r="E1124" s="84"/>
      <c r="F1124" s="84"/>
      <c r="G1124" s="84"/>
      <c r="H1124" s="85"/>
      <c r="I1124" s="86"/>
      <c r="J1124" s="88"/>
    </row>
    <row r="1125" spans="2:10" s="89" customFormat="1">
      <c r="B1125" s="82"/>
      <c r="C1125" s="149"/>
      <c r="D1125" s="84"/>
      <c r="E1125" s="84"/>
      <c r="F1125" s="84"/>
      <c r="G1125" s="84"/>
      <c r="H1125" s="85"/>
      <c r="I1125" s="86"/>
      <c r="J1125" s="88"/>
    </row>
    <row r="1126" spans="2:10" s="89" customFormat="1">
      <c r="B1126" s="82"/>
      <c r="C1126" s="149"/>
      <c r="D1126" s="84"/>
      <c r="E1126" s="84"/>
      <c r="F1126" s="84"/>
      <c r="G1126" s="84"/>
      <c r="H1126" s="85"/>
      <c r="I1126" s="86"/>
      <c r="J1126" s="88"/>
    </row>
    <row r="1127" spans="2:10" s="89" customFormat="1">
      <c r="B1127" s="82"/>
      <c r="C1127" s="149"/>
      <c r="D1127" s="84"/>
      <c r="E1127" s="84"/>
      <c r="F1127" s="84"/>
      <c r="G1127" s="84"/>
      <c r="H1127" s="85"/>
      <c r="I1127" s="86"/>
      <c r="J1127" s="88"/>
    </row>
    <row r="1128" spans="2:10" s="89" customFormat="1">
      <c r="B1128" s="82"/>
      <c r="C1128" s="149"/>
      <c r="D1128" s="84"/>
      <c r="E1128" s="84"/>
      <c r="F1128" s="84"/>
      <c r="G1128" s="84"/>
      <c r="H1128" s="85"/>
      <c r="I1128" s="86"/>
      <c r="J1128" s="88"/>
    </row>
    <row r="1129" spans="2:10" s="89" customFormat="1">
      <c r="B1129" s="82"/>
      <c r="C1129" s="149"/>
      <c r="D1129" s="84"/>
      <c r="E1129" s="84"/>
      <c r="F1129" s="84"/>
      <c r="G1129" s="84"/>
      <c r="H1129" s="85"/>
      <c r="I1129" s="86"/>
      <c r="J1129" s="88"/>
    </row>
    <row r="1130" spans="2:10" s="89" customFormat="1">
      <c r="B1130" s="82"/>
      <c r="C1130" s="149"/>
      <c r="D1130" s="84"/>
      <c r="E1130" s="84"/>
      <c r="F1130" s="84"/>
      <c r="G1130" s="84"/>
      <c r="H1130" s="85"/>
      <c r="I1130" s="86"/>
      <c r="J1130" s="88"/>
    </row>
    <row r="1131" spans="2:10" s="89" customFormat="1">
      <c r="B1131" s="82"/>
      <c r="C1131" s="149"/>
      <c r="D1131" s="84"/>
      <c r="E1131" s="84"/>
      <c r="F1131" s="84"/>
      <c r="G1131" s="84"/>
      <c r="H1131" s="85"/>
      <c r="I1131" s="86"/>
      <c r="J1131" s="88"/>
    </row>
    <row r="1132" spans="2:10" s="89" customFormat="1">
      <c r="B1132" s="82"/>
      <c r="C1132" s="149"/>
      <c r="D1132" s="84"/>
      <c r="E1132" s="84"/>
      <c r="F1132" s="84"/>
      <c r="G1132" s="84"/>
      <c r="H1132" s="85"/>
      <c r="I1132" s="86"/>
      <c r="J1132" s="88"/>
    </row>
    <row r="1133" spans="2:10" s="89" customFormat="1">
      <c r="B1133" s="82"/>
      <c r="C1133" s="149"/>
      <c r="D1133" s="84"/>
      <c r="E1133" s="84"/>
      <c r="F1133" s="84"/>
      <c r="G1133" s="84"/>
      <c r="H1133" s="85"/>
      <c r="I1133" s="86"/>
      <c r="J1133" s="88"/>
    </row>
    <row r="1134" spans="2:10" s="89" customFormat="1">
      <c r="B1134" s="82"/>
      <c r="C1134" s="149"/>
      <c r="D1134" s="84"/>
      <c r="E1134" s="84"/>
      <c r="F1134" s="84"/>
      <c r="G1134" s="84"/>
      <c r="H1134" s="85"/>
      <c r="I1134" s="86"/>
      <c r="J1134" s="88"/>
    </row>
    <row r="1135" spans="2:10" s="89" customFormat="1">
      <c r="B1135" s="82"/>
      <c r="C1135" s="149"/>
      <c r="D1135" s="84"/>
      <c r="E1135" s="84"/>
      <c r="F1135" s="84"/>
      <c r="G1135" s="84"/>
      <c r="H1135" s="85"/>
      <c r="I1135" s="86"/>
      <c r="J1135" s="88"/>
    </row>
    <row r="1136" spans="2:10" s="89" customFormat="1">
      <c r="B1136" s="82"/>
      <c r="C1136" s="149"/>
      <c r="D1136" s="84"/>
      <c r="E1136" s="84"/>
      <c r="F1136" s="84"/>
      <c r="G1136" s="84"/>
      <c r="H1136" s="85"/>
      <c r="I1136" s="86"/>
      <c r="J1136" s="88"/>
    </row>
    <row r="1137" spans="2:10" s="89" customFormat="1">
      <c r="B1137" s="82"/>
      <c r="C1137" s="149"/>
      <c r="D1137" s="84"/>
      <c r="E1137" s="84"/>
      <c r="F1137" s="84"/>
      <c r="G1137" s="84"/>
      <c r="H1137" s="85"/>
      <c r="I1137" s="86"/>
      <c r="J1137" s="88"/>
    </row>
    <row r="1138" spans="2:10" s="89" customFormat="1">
      <c r="B1138" s="82"/>
      <c r="C1138" s="149"/>
      <c r="D1138" s="84"/>
      <c r="E1138" s="84"/>
      <c r="F1138" s="84"/>
      <c r="G1138" s="84"/>
      <c r="H1138" s="85"/>
      <c r="I1138" s="86"/>
      <c r="J1138" s="88"/>
    </row>
    <row r="1139" spans="2:10" s="89" customFormat="1">
      <c r="B1139" s="82"/>
      <c r="C1139" s="149"/>
      <c r="D1139" s="84"/>
      <c r="E1139" s="84"/>
      <c r="F1139" s="84"/>
      <c r="G1139" s="84"/>
      <c r="H1139" s="85"/>
      <c r="I1139" s="86"/>
      <c r="J1139" s="88"/>
    </row>
    <row r="1140" spans="2:10" s="89" customFormat="1">
      <c r="B1140" s="82"/>
      <c r="C1140" s="149"/>
      <c r="D1140" s="84"/>
      <c r="E1140" s="84"/>
      <c r="F1140" s="84"/>
      <c r="G1140" s="84"/>
      <c r="H1140" s="85"/>
      <c r="I1140" s="86"/>
      <c r="J1140" s="88"/>
    </row>
    <row r="1141" spans="2:10" s="89" customFormat="1">
      <c r="B1141" s="82"/>
      <c r="C1141" s="149"/>
      <c r="D1141" s="84"/>
      <c r="E1141" s="84"/>
      <c r="F1141" s="84"/>
      <c r="G1141" s="84"/>
      <c r="H1141" s="85"/>
      <c r="I1141" s="86"/>
      <c r="J1141" s="88"/>
    </row>
    <row r="1142" spans="2:10" s="89" customFormat="1">
      <c r="B1142" s="82"/>
      <c r="C1142" s="149"/>
      <c r="D1142" s="84"/>
      <c r="E1142" s="84"/>
      <c r="F1142" s="84"/>
      <c r="G1142" s="84"/>
      <c r="H1142" s="85"/>
      <c r="I1142" s="86"/>
      <c r="J1142" s="88"/>
    </row>
    <row r="1143" spans="2:10" s="89" customFormat="1">
      <c r="B1143" s="82"/>
      <c r="C1143" s="149"/>
      <c r="D1143" s="84"/>
      <c r="E1143" s="84"/>
      <c r="F1143" s="84"/>
      <c r="G1143" s="84"/>
      <c r="H1143" s="85"/>
      <c r="I1143" s="86"/>
      <c r="J1143" s="88"/>
    </row>
    <row r="1144" spans="2:10" s="89" customFormat="1">
      <c r="B1144" s="82"/>
      <c r="C1144" s="149"/>
      <c r="D1144" s="84"/>
      <c r="E1144" s="84"/>
      <c r="F1144" s="84"/>
      <c r="G1144" s="84"/>
      <c r="H1144" s="85"/>
      <c r="I1144" s="86"/>
      <c r="J1144" s="88"/>
    </row>
    <row r="1145" spans="2:10" s="89" customFormat="1">
      <c r="B1145" s="82"/>
      <c r="C1145" s="149"/>
      <c r="D1145" s="84"/>
      <c r="E1145" s="84"/>
      <c r="F1145" s="84"/>
      <c r="G1145" s="84"/>
      <c r="H1145" s="85"/>
      <c r="I1145" s="86"/>
      <c r="J1145" s="88"/>
    </row>
    <row r="1146" spans="2:10" s="89" customFormat="1">
      <c r="B1146" s="82"/>
      <c r="C1146" s="149"/>
      <c r="D1146" s="84"/>
      <c r="E1146" s="84"/>
      <c r="F1146" s="84"/>
      <c r="G1146" s="84"/>
      <c r="H1146" s="85"/>
      <c r="I1146" s="86"/>
      <c r="J1146" s="88"/>
    </row>
    <row r="1147" spans="2:10" s="89" customFormat="1">
      <c r="B1147" s="82"/>
      <c r="C1147" s="149"/>
      <c r="D1147" s="84"/>
      <c r="E1147" s="84"/>
      <c r="F1147" s="84"/>
      <c r="G1147" s="84"/>
      <c r="H1147" s="85"/>
      <c r="I1147" s="86"/>
      <c r="J1147" s="88"/>
    </row>
    <row r="1148" spans="2:10" s="89" customFormat="1">
      <c r="B1148" s="82"/>
      <c r="C1148" s="149"/>
      <c r="D1148" s="84"/>
      <c r="E1148" s="84"/>
      <c r="F1148" s="84"/>
      <c r="G1148" s="84"/>
      <c r="H1148" s="85"/>
      <c r="I1148" s="86"/>
      <c r="J1148" s="88"/>
    </row>
    <row r="1149" spans="2:10" s="89" customFormat="1">
      <c r="B1149" s="82"/>
      <c r="C1149" s="149"/>
      <c r="D1149" s="84"/>
      <c r="E1149" s="84"/>
      <c r="F1149" s="84"/>
      <c r="G1149" s="84"/>
      <c r="H1149" s="85"/>
      <c r="I1149" s="86"/>
      <c r="J1149" s="88"/>
    </row>
    <row r="1150" spans="2:10" s="89" customFormat="1">
      <c r="B1150" s="82"/>
      <c r="C1150" s="149"/>
      <c r="D1150" s="84"/>
      <c r="E1150" s="84"/>
      <c r="F1150" s="84"/>
      <c r="G1150" s="84"/>
      <c r="H1150" s="85"/>
      <c r="I1150" s="86"/>
      <c r="J1150" s="88"/>
    </row>
    <row r="1151" spans="2:10" s="89" customFormat="1">
      <c r="B1151" s="82"/>
      <c r="C1151" s="149"/>
      <c r="D1151" s="84"/>
      <c r="E1151" s="84"/>
      <c r="F1151" s="84"/>
      <c r="G1151" s="84"/>
      <c r="H1151" s="85"/>
      <c r="I1151" s="86"/>
      <c r="J1151" s="88"/>
    </row>
    <row r="1152" spans="2:10" s="89" customFormat="1">
      <c r="B1152" s="82"/>
      <c r="C1152" s="149"/>
      <c r="D1152" s="84"/>
      <c r="E1152" s="84"/>
      <c r="F1152" s="84"/>
      <c r="G1152" s="84"/>
      <c r="H1152" s="85"/>
      <c r="I1152" s="86"/>
      <c r="J1152" s="88"/>
    </row>
    <row r="1153" spans="2:10" s="89" customFormat="1">
      <c r="B1153" s="82"/>
      <c r="C1153" s="149"/>
      <c r="D1153" s="84"/>
      <c r="E1153" s="84"/>
      <c r="F1153" s="84"/>
      <c r="G1153" s="84"/>
      <c r="H1153" s="85"/>
      <c r="I1153" s="86"/>
      <c r="J1153" s="88"/>
    </row>
    <row r="1154" spans="2:10" s="89" customFormat="1">
      <c r="B1154" s="82"/>
      <c r="C1154" s="149"/>
      <c r="D1154" s="84"/>
      <c r="E1154" s="84"/>
      <c r="F1154" s="84"/>
      <c r="G1154" s="84"/>
      <c r="H1154" s="85"/>
      <c r="I1154" s="86"/>
      <c r="J1154" s="88"/>
    </row>
    <row r="1155" spans="2:10" s="89" customFormat="1">
      <c r="B1155" s="82"/>
      <c r="C1155" s="149"/>
      <c r="D1155" s="84"/>
      <c r="E1155" s="84"/>
      <c r="F1155" s="84"/>
      <c r="G1155" s="84"/>
      <c r="H1155" s="85"/>
      <c r="I1155" s="86"/>
      <c r="J1155" s="88"/>
    </row>
    <row r="1156" spans="2:10" s="89" customFormat="1">
      <c r="B1156" s="82"/>
      <c r="C1156" s="149"/>
      <c r="D1156" s="84"/>
      <c r="E1156" s="84"/>
      <c r="F1156" s="84"/>
      <c r="G1156" s="84"/>
      <c r="H1156" s="85"/>
      <c r="I1156" s="86"/>
      <c r="J1156" s="88"/>
    </row>
    <row r="1157" spans="2:10" s="89" customFormat="1">
      <c r="B1157" s="82"/>
      <c r="C1157" s="149"/>
      <c r="D1157" s="84"/>
      <c r="E1157" s="84"/>
      <c r="F1157" s="84"/>
      <c r="G1157" s="84"/>
      <c r="H1157" s="85"/>
      <c r="I1157" s="86"/>
      <c r="J1157" s="88"/>
    </row>
    <row r="1158" spans="2:10" s="89" customFormat="1">
      <c r="B1158" s="82"/>
      <c r="C1158" s="149"/>
      <c r="D1158" s="84"/>
      <c r="E1158" s="84"/>
      <c r="F1158" s="84"/>
      <c r="G1158" s="84"/>
      <c r="H1158" s="85"/>
      <c r="I1158" s="86"/>
      <c r="J1158" s="88"/>
    </row>
    <row r="1159" spans="2:10" s="89" customFormat="1">
      <c r="B1159" s="82"/>
      <c r="C1159" s="149"/>
      <c r="D1159" s="84"/>
      <c r="E1159" s="84"/>
      <c r="F1159" s="84"/>
      <c r="G1159" s="84"/>
      <c r="H1159" s="85"/>
      <c r="I1159" s="86"/>
      <c r="J1159" s="88"/>
    </row>
    <row r="1160" spans="2:10" s="89" customFormat="1">
      <c r="B1160" s="82"/>
      <c r="C1160" s="149"/>
      <c r="D1160" s="84"/>
      <c r="E1160" s="84"/>
      <c r="F1160" s="84"/>
      <c r="G1160" s="84"/>
      <c r="H1160" s="85"/>
      <c r="I1160" s="86"/>
      <c r="J1160" s="88"/>
    </row>
    <row r="1161" spans="2:10" s="89" customFormat="1">
      <c r="B1161" s="82"/>
      <c r="C1161" s="149"/>
      <c r="D1161" s="84"/>
      <c r="E1161" s="84"/>
      <c r="F1161" s="84"/>
      <c r="G1161" s="84"/>
      <c r="H1161" s="85"/>
      <c r="I1161" s="86"/>
      <c r="J1161" s="88"/>
    </row>
    <row r="1162" spans="2:10" s="89" customFormat="1">
      <c r="B1162" s="82"/>
      <c r="C1162" s="149"/>
      <c r="D1162" s="84"/>
      <c r="E1162" s="84"/>
      <c r="F1162" s="84"/>
      <c r="G1162" s="84"/>
      <c r="H1162" s="85"/>
      <c r="I1162" s="86"/>
      <c r="J1162" s="88"/>
    </row>
    <row r="1163" spans="2:10" s="89" customFormat="1">
      <c r="B1163" s="82"/>
      <c r="C1163" s="149"/>
      <c r="D1163" s="84"/>
      <c r="E1163" s="84"/>
      <c r="F1163" s="84"/>
      <c r="G1163" s="84"/>
      <c r="H1163" s="85"/>
      <c r="I1163" s="86"/>
      <c r="J1163" s="88"/>
    </row>
    <row r="1164" spans="2:10" s="89" customFormat="1">
      <c r="B1164" s="82"/>
      <c r="C1164" s="149"/>
      <c r="D1164" s="84"/>
      <c r="E1164" s="84"/>
      <c r="F1164" s="84"/>
      <c r="G1164" s="84"/>
      <c r="H1164" s="85"/>
      <c r="I1164" s="86"/>
      <c r="J1164" s="88"/>
    </row>
    <row r="1165" spans="2:10" s="89" customFormat="1">
      <c r="B1165" s="82"/>
      <c r="C1165" s="149"/>
      <c r="D1165" s="84"/>
      <c r="E1165" s="84"/>
      <c r="F1165" s="84"/>
      <c r="G1165" s="84"/>
      <c r="H1165" s="85"/>
      <c r="I1165" s="86"/>
      <c r="J1165" s="88"/>
    </row>
    <row r="1166" spans="2:10" s="89" customFormat="1">
      <c r="B1166" s="82"/>
      <c r="C1166" s="149"/>
      <c r="D1166" s="84"/>
      <c r="E1166" s="84"/>
      <c r="F1166" s="84"/>
      <c r="G1166" s="84"/>
      <c r="H1166" s="85"/>
      <c r="I1166" s="86"/>
      <c r="J1166" s="88"/>
    </row>
    <row r="1167" spans="2:10" s="89" customFormat="1">
      <c r="B1167" s="82"/>
      <c r="C1167" s="149"/>
      <c r="D1167" s="84"/>
      <c r="E1167" s="84"/>
      <c r="F1167" s="84"/>
      <c r="G1167" s="84"/>
      <c r="H1167" s="85"/>
      <c r="I1167" s="86"/>
      <c r="J1167" s="88"/>
    </row>
    <row r="1168" spans="2:10" s="89" customFormat="1">
      <c r="B1168" s="82"/>
      <c r="C1168" s="149"/>
      <c r="D1168" s="84"/>
      <c r="E1168" s="84"/>
      <c r="F1168" s="84"/>
      <c r="G1168" s="84"/>
      <c r="H1168" s="85"/>
      <c r="I1168" s="86"/>
      <c r="J1168" s="88"/>
    </row>
    <row r="1169" spans="2:10" s="89" customFormat="1">
      <c r="B1169" s="82"/>
      <c r="C1169" s="149"/>
      <c r="D1169" s="84"/>
      <c r="E1169" s="84"/>
      <c r="F1169" s="84"/>
      <c r="G1169" s="84"/>
      <c r="H1169" s="85"/>
      <c r="I1169" s="86"/>
      <c r="J1169" s="88"/>
    </row>
    <row r="1170" spans="2:10" s="89" customFormat="1">
      <c r="B1170" s="82"/>
      <c r="C1170" s="149"/>
      <c r="D1170" s="84"/>
      <c r="E1170" s="84"/>
      <c r="F1170" s="84"/>
      <c r="G1170" s="84"/>
      <c r="H1170" s="85"/>
      <c r="I1170" s="86"/>
      <c r="J1170" s="88"/>
    </row>
    <row r="1171" spans="2:10" s="89" customFormat="1">
      <c r="B1171" s="82"/>
      <c r="C1171" s="149"/>
      <c r="D1171" s="84"/>
      <c r="E1171" s="84"/>
      <c r="F1171" s="84"/>
      <c r="G1171" s="84"/>
      <c r="H1171" s="85"/>
      <c r="I1171" s="86"/>
      <c r="J1171" s="88"/>
    </row>
    <row r="1172" spans="2:10" s="89" customFormat="1">
      <c r="B1172" s="82"/>
      <c r="C1172" s="149"/>
      <c r="D1172" s="84"/>
      <c r="E1172" s="84"/>
      <c r="F1172" s="84"/>
      <c r="G1172" s="84"/>
      <c r="H1172" s="85"/>
      <c r="I1172" s="86"/>
      <c r="J1172" s="88"/>
    </row>
    <row r="1173" spans="2:10" s="89" customFormat="1">
      <c r="B1173" s="82"/>
      <c r="C1173" s="149"/>
      <c r="D1173" s="84"/>
      <c r="E1173" s="84"/>
      <c r="F1173" s="84"/>
      <c r="G1173" s="84"/>
      <c r="H1173" s="85"/>
      <c r="I1173" s="86"/>
      <c r="J1173" s="88"/>
    </row>
    <row r="1174" spans="2:10" s="89" customFormat="1">
      <c r="B1174" s="82"/>
      <c r="C1174" s="149"/>
      <c r="D1174" s="84"/>
      <c r="E1174" s="84"/>
      <c r="F1174" s="84"/>
      <c r="G1174" s="84"/>
      <c r="H1174" s="85"/>
      <c r="I1174" s="86"/>
      <c r="J1174" s="88"/>
    </row>
    <row r="1175" spans="2:10" s="89" customFormat="1">
      <c r="B1175" s="82"/>
      <c r="C1175" s="149"/>
      <c r="D1175" s="84"/>
      <c r="E1175" s="84"/>
      <c r="F1175" s="84"/>
      <c r="G1175" s="84"/>
      <c r="H1175" s="85"/>
      <c r="I1175" s="86"/>
      <c r="J1175" s="88"/>
    </row>
    <row r="1176" spans="2:10" s="89" customFormat="1">
      <c r="B1176" s="82"/>
      <c r="C1176" s="149"/>
      <c r="D1176" s="84"/>
      <c r="E1176" s="84"/>
      <c r="F1176" s="84"/>
      <c r="G1176" s="84"/>
      <c r="H1176" s="85"/>
      <c r="I1176" s="86"/>
      <c r="J1176" s="88"/>
    </row>
    <row r="1177" spans="2:10" s="89" customFormat="1">
      <c r="B1177" s="82"/>
      <c r="C1177" s="149"/>
      <c r="D1177" s="84"/>
      <c r="E1177" s="84"/>
      <c r="F1177" s="84"/>
      <c r="G1177" s="84"/>
      <c r="H1177" s="85"/>
      <c r="I1177" s="86"/>
      <c r="J1177" s="88"/>
    </row>
    <row r="1178" spans="2:10" s="89" customFormat="1">
      <c r="B1178" s="82"/>
      <c r="C1178" s="149"/>
      <c r="D1178" s="84"/>
      <c r="E1178" s="84"/>
      <c r="F1178" s="84"/>
      <c r="G1178" s="84"/>
      <c r="H1178" s="85"/>
      <c r="I1178" s="86"/>
      <c r="J1178" s="88"/>
    </row>
    <row r="1179" spans="2:10" s="89" customFormat="1">
      <c r="B1179" s="82"/>
      <c r="C1179" s="149"/>
      <c r="D1179" s="84"/>
      <c r="E1179" s="84"/>
      <c r="F1179" s="84"/>
      <c r="G1179" s="84"/>
      <c r="H1179" s="85"/>
      <c r="I1179" s="86"/>
      <c r="J1179" s="88"/>
    </row>
    <row r="1180" spans="2:10" s="89" customFormat="1">
      <c r="B1180" s="82"/>
      <c r="C1180" s="149"/>
      <c r="D1180" s="84"/>
      <c r="E1180" s="84"/>
      <c r="F1180" s="84"/>
      <c r="G1180" s="84"/>
      <c r="H1180" s="85"/>
      <c r="I1180" s="86"/>
      <c r="J1180" s="88"/>
    </row>
    <row r="1181" spans="2:10" s="89" customFormat="1">
      <c r="B1181" s="82"/>
      <c r="C1181" s="149"/>
      <c r="D1181" s="84"/>
      <c r="E1181" s="84"/>
      <c r="F1181" s="84"/>
      <c r="G1181" s="84"/>
      <c r="H1181" s="85"/>
      <c r="I1181" s="86"/>
      <c r="J1181" s="88"/>
    </row>
    <row r="1182" spans="2:10" s="89" customFormat="1">
      <c r="B1182" s="82"/>
      <c r="C1182" s="149"/>
      <c r="D1182" s="84"/>
      <c r="E1182" s="84"/>
      <c r="F1182" s="84"/>
      <c r="G1182" s="84"/>
      <c r="H1182" s="85"/>
      <c r="I1182" s="86"/>
      <c r="J1182" s="88"/>
    </row>
    <row r="1183" spans="2:10" s="89" customFormat="1">
      <c r="B1183" s="82"/>
      <c r="C1183" s="149"/>
      <c r="D1183" s="84"/>
      <c r="E1183" s="84"/>
      <c r="F1183" s="84"/>
      <c r="G1183" s="84"/>
      <c r="H1183" s="85"/>
      <c r="I1183" s="86"/>
      <c r="J1183" s="88"/>
    </row>
    <row r="1184" spans="2:10" s="89" customFormat="1">
      <c r="B1184" s="82"/>
      <c r="C1184" s="149"/>
      <c r="D1184" s="84"/>
      <c r="E1184" s="84"/>
      <c r="F1184" s="84"/>
      <c r="G1184" s="84"/>
      <c r="H1184" s="85"/>
      <c r="I1184" s="86"/>
      <c r="J1184" s="88"/>
    </row>
    <row r="1185" spans="2:10" s="89" customFormat="1">
      <c r="B1185" s="82"/>
      <c r="C1185" s="149"/>
      <c r="D1185" s="84"/>
      <c r="E1185" s="84"/>
      <c r="F1185" s="84"/>
      <c r="G1185" s="84"/>
      <c r="H1185" s="85"/>
      <c r="I1185" s="86"/>
      <c r="J1185" s="88"/>
    </row>
    <row r="1186" spans="2:10" s="89" customFormat="1">
      <c r="B1186" s="82"/>
      <c r="C1186" s="149"/>
      <c r="D1186" s="84"/>
      <c r="E1186" s="84"/>
      <c r="F1186" s="84"/>
      <c r="G1186" s="84"/>
      <c r="H1186" s="85"/>
      <c r="I1186" s="86"/>
      <c r="J1186" s="88"/>
    </row>
    <row r="1187" spans="2:10" s="89" customFormat="1">
      <c r="B1187" s="82"/>
      <c r="C1187" s="149"/>
      <c r="D1187" s="84"/>
      <c r="E1187" s="84"/>
      <c r="F1187" s="84"/>
      <c r="G1187" s="84"/>
      <c r="H1187" s="85"/>
      <c r="I1187" s="86"/>
      <c r="J1187" s="88"/>
    </row>
    <row r="1188" spans="2:10" s="89" customFormat="1">
      <c r="B1188" s="82"/>
      <c r="C1188" s="149"/>
      <c r="D1188" s="84"/>
      <c r="E1188" s="84"/>
      <c r="F1188" s="84"/>
      <c r="G1188" s="84"/>
      <c r="H1188" s="85"/>
      <c r="I1188" s="86"/>
      <c r="J1188" s="88"/>
    </row>
    <row r="1189" spans="2:10" s="89" customFormat="1">
      <c r="B1189" s="82"/>
      <c r="C1189" s="149"/>
      <c r="D1189" s="84"/>
      <c r="E1189" s="84"/>
      <c r="F1189" s="84"/>
      <c r="G1189" s="84"/>
      <c r="H1189" s="85"/>
      <c r="I1189" s="86"/>
      <c r="J1189" s="88"/>
    </row>
    <row r="1190" spans="2:10" s="89" customFormat="1">
      <c r="B1190" s="82"/>
      <c r="C1190" s="149"/>
      <c r="D1190" s="84"/>
      <c r="E1190" s="84"/>
      <c r="F1190" s="84"/>
      <c r="G1190" s="84"/>
      <c r="H1190" s="85"/>
      <c r="I1190" s="86"/>
      <c r="J1190" s="88"/>
    </row>
    <row r="1191" spans="2:10" s="89" customFormat="1">
      <c r="B1191" s="82"/>
      <c r="C1191" s="149"/>
      <c r="D1191" s="84"/>
      <c r="E1191" s="84"/>
      <c r="F1191" s="84"/>
      <c r="G1191" s="84"/>
      <c r="H1191" s="85"/>
      <c r="I1191" s="86"/>
      <c r="J1191" s="88"/>
    </row>
    <row r="1192" spans="2:10" s="89" customFormat="1">
      <c r="B1192" s="82"/>
      <c r="C1192" s="149"/>
      <c r="D1192" s="84"/>
      <c r="E1192" s="84"/>
      <c r="F1192" s="84"/>
      <c r="G1192" s="84"/>
      <c r="H1192" s="85"/>
      <c r="I1192" s="86"/>
      <c r="J1192" s="88"/>
    </row>
    <row r="1193" spans="2:10" s="89" customFormat="1">
      <c r="B1193" s="82"/>
      <c r="C1193" s="149"/>
      <c r="D1193" s="84"/>
      <c r="E1193" s="84"/>
      <c r="F1193" s="84"/>
      <c r="G1193" s="84"/>
      <c r="H1193" s="85"/>
      <c r="I1193" s="86"/>
      <c r="J1193" s="88"/>
    </row>
    <row r="1194" spans="2:10" s="89" customFormat="1">
      <c r="B1194" s="82"/>
      <c r="C1194" s="149"/>
      <c r="D1194" s="84"/>
      <c r="E1194" s="84"/>
      <c r="F1194" s="84"/>
      <c r="G1194" s="84"/>
      <c r="H1194" s="85"/>
      <c r="I1194" s="86"/>
      <c r="J1194" s="88"/>
    </row>
    <row r="1195" spans="2:10" s="89" customFormat="1">
      <c r="B1195" s="82"/>
      <c r="C1195" s="149"/>
      <c r="D1195" s="84"/>
      <c r="E1195" s="84"/>
      <c r="F1195" s="84"/>
      <c r="G1195" s="84"/>
      <c r="H1195" s="85"/>
      <c r="I1195" s="86"/>
      <c r="J1195" s="88"/>
    </row>
    <row r="1196" spans="2:10" s="89" customFormat="1">
      <c r="B1196" s="82"/>
      <c r="C1196" s="149"/>
      <c r="D1196" s="84"/>
      <c r="E1196" s="84"/>
      <c r="F1196" s="84"/>
      <c r="G1196" s="84"/>
      <c r="H1196" s="85"/>
      <c r="I1196" s="86"/>
      <c r="J1196" s="88"/>
    </row>
    <row r="1197" spans="2:10" s="89" customFormat="1">
      <c r="B1197" s="82"/>
      <c r="C1197" s="149"/>
      <c r="D1197" s="84"/>
      <c r="E1197" s="84"/>
      <c r="F1197" s="84"/>
      <c r="G1197" s="84"/>
      <c r="H1197" s="85"/>
      <c r="I1197" s="86"/>
      <c r="J1197" s="88"/>
    </row>
    <row r="1198" spans="2:10" s="89" customFormat="1">
      <c r="B1198" s="82"/>
      <c r="C1198" s="149"/>
      <c r="D1198" s="84"/>
      <c r="E1198" s="84"/>
      <c r="F1198" s="84"/>
      <c r="G1198" s="84"/>
      <c r="H1198" s="85"/>
      <c r="I1198" s="86"/>
      <c r="J1198" s="88"/>
    </row>
    <row r="1199" spans="2:10" s="89" customFormat="1">
      <c r="B1199" s="82"/>
      <c r="C1199" s="149"/>
      <c r="D1199" s="84"/>
      <c r="E1199" s="84"/>
      <c r="F1199" s="84"/>
      <c r="G1199" s="84"/>
      <c r="H1199" s="85"/>
      <c r="I1199" s="86"/>
      <c r="J1199" s="88"/>
    </row>
    <row r="1200" spans="2:10" s="89" customFormat="1">
      <c r="B1200" s="82"/>
      <c r="C1200" s="149"/>
      <c r="D1200" s="84"/>
      <c r="E1200" s="84"/>
      <c r="F1200" s="84"/>
      <c r="G1200" s="84"/>
      <c r="H1200" s="85"/>
      <c r="I1200" s="86"/>
      <c r="J1200" s="88"/>
    </row>
    <row r="1201" spans="2:10" s="89" customFormat="1">
      <c r="B1201" s="82"/>
      <c r="C1201" s="149"/>
      <c r="D1201" s="84"/>
      <c r="E1201" s="84"/>
      <c r="F1201" s="84"/>
      <c r="G1201" s="84"/>
      <c r="H1201" s="85"/>
      <c r="I1201" s="86"/>
      <c r="J1201" s="88"/>
    </row>
    <row r="1202" spans="2:10" s="89" customFormat="1">
      <c r="B1202" s="82"/>
      <c r="C1202" s="149"/>
      <c r="D1202" s="84"/>
      <c r="E1202" s="84"/>
      <c r="F1202" s="84"/>
      <c r="G1202" s="84"/>
      <c r="H1202" s="85"/>
      <c r="I1202" s="86"/>
      <c r="J1202" s="88"/>
    </row>
    <row r="1203" spans="2:10" s="89" customFormat="1">
      <c r="B1203" s="82"/>
      <c r="C1203" s="149"/>
      <c r="D1203" s="84"/>
      <c r="E1203" s="84"/>
      <c r="F1203" s="84"/>
      <c r="G1203" s="84"/>
      <c r="H1203" s="85"/>
      <c r="I1203" s="86"/>
      <c r="J1203" s="88"/>
    </row>
    <row r="1204" spans="2:10" s="89" customFormat="1">
      <c r="B1204" s="82"/>
      <c r="C1204" s="149"/>
      <c r="D1204" s="84"/>
      <c r="E1204" s="84"/>
      <c r="F1204" s="84"/>
      <c r="G1204" s="84"/>
      <c r="H1204" s="85"/>
      <c r="I1204" s="86"/>
      <c r="J1204" s="88"/>
    </row>
    <row r="1205" spans="2:10" s="89" customFormat="1">
      <c r="B1205" s="82"/>
      <c r="C1205" s="149"/>
      <c r="D1205" s="84"/>
      <c r="E1205" s="84"/>
      <c r="F1205" s="84"/>
      <c r="G1205" s="84"/>
      <c r="H1205" s="85"/>
      <c r="I1205" s="86"/>
      <c r="J1205" s="88"/>
    </row>
    <row r="1206" spans="2:10" s="89" customFormat="1">
      <c r="B1206" s="82"/>
      <c r="C1206" s="149"/>
      <c r="D1206" s="84"/>
      <c r="E1206" s="84"/>
      <c r="F1206" s="84"/>
      <c r="G1206" s="84"/>
      <c r="H1206" s="85"/>
      <c r="I1206" s="86"/>
      <c r="J1206" s="88"/>
    </row>
    <row r="1207" spans="2:10" s="89" customFormat="1">
      <c r="B1207" s="82"/>
      <c r="C1207" s="149"/>
      <c r="D1207" s="84"/>
      <c r="E1207" s="84"/>
      <c r="F1207" s="84"/>
      <c r="G1207" s="84"/>
      <c r="H1207" s="85"/>
      <c r="I1207" s="86"/>
      <c r="J1207" s="88"/>
    </row>
    <row r="1208" spans="2:10" s="89" customFormat="1">
      <c r="B1208" s="82"/>
      <c r="C1208" s="149"/>
      <c r="D1208" s="84"/>
      <c r="E1208" s="84"/>
      <c r="F1208" s="84"/>
      <c r="G1208" s="84"/>
      <c r="H1208" s="85"/>
      <c r="I1208" s="86"/>
      <c r="J1208" s="88"/>
    </row>
    <row r="1209" spans="2:10" s="89" customFormat="1">
      <c r="B1209" s="82"/>
      <c r="C1209" s="149"/>
      <c r="D1209" s="84"/>
      <c r="E1209" s="84"/>
      <c r="F1209" s="84"/>
      <c r="G1209" s="84"/>
      <c r="H1209" s="85"/>
      <c r="I1209" s="86"/>
      <c r="J1209" s="88"/>
    </row>
    <row r="1210" spans="2:10" s="89" customFormat="1">
      <c r="B1210" s="82"/>
      <c r="C1210" s="149"/>
      <c r="D1210" s="84"/>
      <c r="E1210" s="84"/>
      <c r="F1210" s="84"/>
      <c r="G1210" s="84"/>
      <c r="H1210" s="85"/>
      <c r="I1210" s="86"/>
      <c r="J1210" s="88"/>
    </row>
    <row r="1211" spans="2:10" s="89" customFormat="1">
      <c r="B1211" s="82"/>
      <c r="C1211" s="149"/>
      <c r="D1211" s="84"/>
      <c r="E1211" s="84"/>
      <c r="F1211" s="84"/>
      <c r="G1211" s="84"/>
      <c r="H1211" s="85"/>
      <c r="I1211" s="86"/>
      <c r="J1211" s="88"/>
    </row>
    <row r="1212" spans="2:10" s="89" customFormat="1">
      <c r="B1212" s="82"/>
      <c r="C1212" s="149"/>
      <c r="D1212" s="84"/>
      <c r="E1212" s="84"/>
      <c r="F1212" s="84"/>
      <c r="G1212" s="84"/>
      <c r="H1212" s="85"/>
      <c r="I1212" s="86"/>
      <c r="J1212" s="88"/>
    </row>
    <row r="1213" spans="2:10" s="89" customFormat="1">
      <c r="B1213" s="82"/>
      <c r="C1213" s="149"/>
      <c r="D1213" s="84"/>
      <c r="E1213" s="84"/>
      <c r="F1213" s="84"/>
      <c r="G1213" s="84"/>
      <c r="H1213" s="85"/>
      <c r="I1213" s="86"/>
      <c r="J1213" s="88"/>
    </row>
    <row r="1214" spans="2:10" s="89" customFormat="1">
      <c r="B1214" s="82"/>
      <c r="C1214" s="149"/>
      <c r="D1214" s="84"/>
      <c r="E1214" s="84"/>
      <c r="F1214" s="84"/>
      <c r="G1214" s="84"/>
      <c r="H1214" s="85"/>
      <c r="I1214" s="86"/>
      <c r="J1214" s="88"/>
    </row>
    <row r="1215" spans="2:10" s="89" customFormat="1">
      <c r="B1215" s="82"/>
      <c r="C1215" s="149"/>
      <c r="D1215" s="84"/>
      <c r="E1215" s="84"/>
      <c r="F1215" s="84"/>
      <c r="G1215" s="84"/>
      <c r="H1215" s="85"/>
      <c r="I1215" s="86"/>
      <c r="J1215" s="88"/>
    </row>
    <row r="1216" spans="2:10" s="89" customFormat="1">
      <c r="B1216" s="82"/>
      <c r="C1216" s="149"/>
      <c r="D1216" s="84"/>
      <c r="E1216" s="84"/>
      <c r="F1216" s="84"/>
      <c r="G1216" s="84"/>
      <c r="H1216" s="85"/>
      <c r="I1216" s="86"/>
      <c r="J1216" s="88"/>
    </row>
    <row r="1217" spans="2:10" s="89" customFormat="1">
      <c r="B1217" s="82"/>
      <c r="C1217" s="149"/>
      <c r="D1217" s="84"/>
      <c r="E1217" s="84"/>
      <c r="F1217" s="84"/>
      <c r="G1217" s="84"/>
      <c r="H1217" s="85"/>
      <c r="I1217" s="86"/>
      <c r="J1217" s="88"/>
    </row>
    <row r="1218" spans="2:10" s="89" customFormat="1">
      <c r="B1218" s="82"/>
      <c r="C1218" s="149"/>
      <c r="D1218" s="84"/>
      <c r="E1218" s="84"/>
      <c r="F1218" s="84"/>
      <c r="G1218" s="84"/>
      <c r="H1218" s="85"/>
      <c r="I1218" s="86"/>
      <c r="J1218" s="88"/>
    </row>
    <row r="1219" spans="2:10" s="89" customFormat="1">
      <c r="B1219" s="82"/>
      <c r="C1219" s="149"/>
      <c r="D1219" s="84"/>
      <c r="E1219" s="84"/>
      <c r="F1219" s="84"/>
      <c r="G1219" s="84"/>
      <c r="H1219" s="85"/>
      <c r="I1219" s="86"/>
      <c r="J1219" s="88"/>
    </row>
    <row r="1220" spans="2:10" s="89" customFormat="1">
      <c r="B1220" s="82"/>
      <c r="C1220" s="149"/>
      <c r="D1220" s="84"/>
      <c r="E1220" s="84"/>
      <c r="F1220" s="84"/>
      <c r="G1220" s="84"/>
      <c r="H1220" s="85"/>
      <c r="I1220" s="86"/>
      <c r="J1220" s="88"/>
    </row>
    <row r="1221" spans="2:10" s="89" customFormat="1">
      <c r="B1221" s="82"/>
      <c r="C1221" s="149"/>
      <c r="D1221" s="84"/>
      <c r="E1221" s="84"/>
      <c r="F1221" s="84"/>
      <c r="G1221" s="84"/>
      <c r="H1221" s="85"/>
      <c r="I1221" s="86"/>
      <c r="J1221" s="88"/>
    </row>
    <row r="1222" spans="2:10" s="89" customFormat="1">
      <c r="B1222" s="82"/>
      <c r="C1222" s="149"/>
      <c r="D1222" s="84"/>
      <c r="E1222" s="84"/>
      <c r="F1222" s="84"/>
      <c r="G1222" s="84"/>
      <c r="H1222" s="85"/>
      <c r="I1222" s="86"/>
      <c r="J1222" s="88"/>
    </row>
    <row r="1223" spans="2:10" s="89" customFormat="1">
      <c r="B1223" s="82"/>
      <c r="C1223" s="149"/>
      <c r="D1223" s="84"/>
      <c r="E1223" s="84"/>
      <c r="F1223" s="84"/>
      <c r="G1223" s="84"/>
      <c r="H1223" s="85"/>
      <c r="I1223" s="86"/>
      <c r="J1223" s="88"/>
    </row>
    <row r="1224" spans="2:10" s="89" customFormat="1">
      <c r="B1224" s="82"/>
      <c r="C1224" s="149"/>
      <c r="D1224" s="84"/>
      <c r="E1224" s="84"/>
      <c r="F1224" s="84"/>
      <c r="G1224" s="84"/>
      <c r="H1224" s="85"/>
      <c r="I1224" s="86"/>
      <c r="J1224" s="88"/>
    </row>
    <row r="1225" spans="2:10" s="89" customFormat="1">
      <c r="B1225" s="82"/>
      <c r="C1225" s="149"/>
      <c r="D1225" s="84"/>
      <c r="E1225" s="84"/>
      <c r="F1225" s="84"/>
      <c r="G1225" s="84"/>
      <c r="H1225" s="85"/>
      <c r="I1225" s="86"/>
      <c r="J1225" s="88"/>
    </row>
    <row r="1226" spans="2:10" s="89" customFormat="1">
      <c r="B1226" s="82"/>
      <c r="C1226" s="149"/>
      <c r="D1226" s="84"/>
      <c r="E1226" s="84"/>
      <c r="F1226" s="84"/>
      <c r="G1226" s="84"/>
      <c r="H1226" s="85"/>
      <c r="I1226" s="86"/>
      <c r="J1226" s="88"/>
    </row>
    <row r="1227" spans="2:10" s="89" customFormat="1">
      <c r="B1227" s="82"/>
      <c r="C1227" s="149"/>
      <c r="D1227" s="84"/>
      <c r="E1227" s="84"/>
      <c r="F1227" s="84"/>
      <c r="G1227" s="84"/>
      <c r="H1227" s="85"/>
      <c r="I1227" s="86"/>
      <c r="J1227" s="88"/>
    </row>
    <row r="1228" spans="2:10" s="89" customFormat="1">
      <c r="B1228" s="82"/>
      <c r="C1228" s="149"/>
      <c r="D1228" s="84"/>
      <c r="E1228" s="84"/>
      <c r="F1228" s="84"/>
      <c r="G1228" s="84"/>
      <c r="H1228" s="85"/>
      <c r="I1228" s="86"/>
      <c r="J1228" s="88"/>
    </row>
    <row r="1229" spans="2:10" s="89" customFormat="1">
      <c r="B1229" s="82"/>
      <c r="C1229" s="149"/>
      <c r="D1229" s="84"/>
      <c r="E1229" s="84"/>
      <c r="F1229" s="84"/>
      <c r="G1229" s="84"/>
      <c r="H1229" s="85"/>
      <c r="I1229" s="86"/>
      <c r="J1229" s="88"/>
    </row>
    <row r="1230" spans="2:10" s="89" customFormat="1">
      <c r="B1230" s="82"/>
      <c r="C1230" s="149"/>
      <c r="D1230" s="84"/>
      <c r="E1230" s="84"/>
      <c r="F1230" s="84"/>
      <c r="G1230" s="84"/>
      <c r="H1230" s="85"/>
      <c r="I1230" s="86"/>
      <c r="J1230" s="88"/>
    </row>
    <row r="1231" spans="2:10" s="89" customFormat="1">
      <c r="B1231" s="82"/>
      <c r="C1231" s="149"/>
      <c r="D1231" s="84"/>
      <c r="E1231" s="84"/>
      <c r="F1231" s="84"/>
      <c r="G1231" s="84"/>
      <c r="H1231" s="85"/>
      <c r="I1231" s="86"/>
      <c r="J1231" s="88"/>
    </row>
    <row r="1232" spans="2:10" s="89" customFormat="1">
      <c r="B1232" s="82"/>
      <c r="C1232" s="149"/>
      <c r="D1232" s="84"/>
      <c r="E1232" s="84"/>
      <c r="F1232" s="84"/>
      <c r="G1232" s="84"/>
      <c r="H1232" s="85"/>
      <c r="I1232" s="86"/>
      <c r="J1232" s="88"/>
    </row>
    <row r="1233" spans="2:10" s="89" customFormat="1">
      <c r="B1233" s="82"/>
      <c r="C1233" s="149"/>
      <c r="D1233" s="84"/>
      <c r="E1233" s="84"/>
      <c r="F1233" s="84"/>
      <c r="G1233" s="84"/>
      <c r="H1233" s="85"/>
      <c r="I1233" s="86"/>
      <c r="J1233" s="88"/>
    </row>
    <row r="1234" spans="2:10" s="89" customFormat="1">
      <c r="B1234" s="82"/>
      <c r="C1234" s="149"/>
      <c r="D1234" s="84"/>
      <c r="E1234" s="84"/>
      <c r="F1234" s="84"/>
      <c r="G1234" s="84"/>
      <c r="H1234" s="85"/>
      <c r="I1234" s="86"/>
      <c r="J1234" s="88"/>
    </row>
    <row r="1235" spans="2:10" s="89" customFormat="1">
      <c r="B1235" s="82"/>
      <c r="C1235" s="149"/>
      <c r="D1235" s="84"/>
      <c r="E1235" s="84"/>
      <c r="F1235" s="84"/>
      <c r="G1235" s="84"/>
      <c r="H1235" s="85"/>
      <c r="I1235" s="86"/>
      <c r="J1235" s="88"/>
    </row>
    <row r="1236" spans="2:10" s="89" customFormat="1">
      <c r="B1236" s="82"/>
      <c r="C1236" s="149"/>
      <c r="D1236" s="84"/>
      <c r="E1236" s="84"/>
      <c r="F1236" s="84"/>
      <c r="G1236" s="84"/>
      <c r="H1236" s="85"/>
      <c r="I1236" s="86"/>
      <c r="J1236" s="88"/>
    </row>
    <row r="1237" spans="2:10" s="89" customFormat="1">
      <c r="B1237" s="82"/>
      <c r="C1237" s="149"/>
      <c r="D1237" s="84"/>
      <c r="E1237" s="84"/>
      <c r="F1237" s="84"/>
      <c r="G1237" s="84"/>
      <c r="H1237" s="85"/>
      <c r="I1237" s="86"/>
      <c r="J1237" s="88"/>
    </row>
    <row r="1238" spans="2:10" s="89" customFormat="1">
      <c r="B1238" s="82"/>
      <c r="C1238" s="149"/>
      <c r="D1238" s="84"/>
      <c r="E1238" s="84"/>
      <c r="F1238" s="84"/>
      <c r="G1238" s="84"/>
      <c r="H1238" s="85"/>
      <c r="I1238" s="86"/>
      <c r="J1238" s="88"/>
    </row>
    <row r="1239" spans="2:10" s="89" customFormat="1">
      <c r="B1239" s="82"/>
      <c r="C1239" s="149"/>
      <c r="D1239" s="84"/>
      <c r="E1239" s="84"/>
      <c r="F1239" s="84"/>
      <c r="G1239" s="84"/>
      <c r="H1239" s="85"/>
      <c r="I1239" s="86"/>
      <c r="J1239" s="88"/>
    </row>
    <row r="1240" spans="2:10" s="89" customFormat="1">
      <c r="B1240" s="82"/>
      <c r="C1240" s="149"/>
      <c r="D1240" s="84"/>
      <c r="E1240" s="84"/>
      <c r="F1240" s="84"/>
      <c r="G1240" s="84"/>
      <c r="H1240" s="85"/>
      <c r="I1240" s="86"/>
      <c r="J1240" s="88"/>
    </row>
    <row r="1241" spans="2:10" s="89" customFormat="1">
      <c r="B1241" s="82"/>
      <c r="C1241" s="149"/>
      <c r="D1241" s="84"/>
      <c r="E1241" s="84"/>
      <c r="F1241" s="84"/>
      <c r="G1241" s="84"/>
      <c r="H1241" s="85"/>
      <c r="I1241" s="86"/>
      <c r="J1241" s="88"/>
    </row>
    <row r="1242" spans="2:10" s="89" customFormat="1">
      <c r="B1242" s="82"/>
      <c r="C1242" s="149"/>
      <c r="D1242" s="84"/>
      <c r="E1242" s="84"/>
      <c r="F1242" s="84"/>
      <c r="G1242" s="84"/>
      <c r="H1242" s="85"/>
      <c r="I1242" s="86"/>
      <c r="J1242" s="88"/>
    </row>
    <row r="1243" spans="2:10" s="89" customFormat="1">
      <c r="B1243" s="82"/>
      <c r="C1243" s="149"/>
      <c r="D1243" s="84"/>
      <c r="E1243" s="84"/>
      <c r="F1243" s="84"/>
      <c r="G1243" s="84"/>
      <c r="H1243" s="85"/>
      <c r="I1243" s="86"/>
      <c r="J1243" s="88"/>
    </row>
    <row r="1244" spans="2:10" s="89" customFormat="1">
      <c r="B1244" s="82"/>
      <c r="C1244" s="149"/>
      <c r="D1244" s="84"/>
      <c r="E1244" s="84"/>
      <c r="F1244" s="84"/>
      <c r="G1244" s="84"/>
      <c r="H1244" s="85"/>
      <c r="I1244" s="86"/>
      <c r="J1244" s="88"/>
    </row>
    <row r="1245" spans="2:10" s="89" customFormat="1">
      <c r="B1245" s="82"/>
      <c r="C1245" s="149"/>
      <c r="D1245" s="84"/>
      <c r="E1245" s="84"/>
      <c r="F1245" s="84"/>
      <c r="G1245" s="84"/>
      <c r="H1245" s="85"/>
      <c r="I1245" s="86"/>
      <c r="J1245" s="88"/>
    </row>
    <row r="1246" spans="2:10" s="89" customFormat="1">
      <c r="B1246" s="82"/>
      <c r="C1246" s="149"/>
      <c r="D1246" s="84"/>
      <c r="E1246" s="84"/>
      <c r="F1246" s="84"/>
      <c r="G1246" s="84"/>
      <c r="H1246" s="85"/>
      <c r="I1246" s="86"/>
      <c r="J1246" s="88"/>
    </row>
    <row r="1247" spans="2:10" s="89" customFormat="1">
      <c r="B1247" s="82"/>
      <c r="C1247" s="149"/>
      <c r="D1247" s="84"/>
      <c r="E1247" s="84"/>
      <c r="F1247" s="84"/>
      <c r="G1247" s="84"/>
      <c r="H1247" s="85"/>
      <c r="I1247" s="86"/>
      <c r="J1247" s="88"/>
    </row>
    <row r="1248" spans="2:10" s="89" customFormat="1">
      <c r="B1248" s="82"/>
      <c r="C1248" s="149"/>
      <c r="D1248" s="84"/>
      <c r="E1248" s="84"/>
      <c r="F1248" s="84"/>
      <c r="G1248" s="84"/>
      <c r="H1248" s="85"/>
      <c r="I1248" s="86"/>
      <c r="J1248" s="88"/>
    </row>
    <row r="1249" spans="2:10" s="89" customFormat="1">
      <c r="B1249" s="82"/>
      <c r="C1249" s="149"/>
      <c r="D1249" s="84"/>
      <c r="E1249" s="84"/>
      <c r="F1249" s="84"/>
      <c r="G1249" s="84"/>
      <c r="H1249" s="85"/>
      <c r="I1249" s="86"/>
      <c r="J1249" s="88"/>
    </row>
    <row r="1250" spans="2:10" s="89" customFormat="1">
      <c r="B1250" s="82"/>
      <c r="C1250" s="149"/>
      <c r="D1250" s="84"/>
      <c r="E1250" s="84"/>
      <c r="F1250" s="84"/>
      <c r="G1250" s="84"/>
      <c r="H1250" s="85"/>
      <c r="I1250" s="86"/>
      <c r="J1250" s="88"/>
    </row>
    <row r="1251" spans="2:10" s="89" customFormat="1">
      <c r="B1251" s="82"/>
      <c r="C1251" s="149"/>
      <c r="D1251" s="84"/>
      <c r="E1251" s="84"/>
      <c r="F1251" s="84"/>
      <c r="G1251" s="84"/>
      <c r="H1251" s="85"/>
      <c r="I1251" s="86"/>
      <c r="J1251" s="88"/>
    </row>
    <row r="1252" spans="2:10" s="89" customFormat="1">
      <c r="B1252" s="82"/>
      <c r="C1252" s="149"/>
      <c r="D1252" s="84"/>
      <c r="E1252" s="84"/>
      <c r="F1252" s="84"/>
      <c r="G1252" s="84"/>
      <c r="H1252" s="85"/>
      <c r="I1252" s="86"/>
      <c r="J1252" s="88"/>
    </row>
    <row r="1253" spans="2:10" s="89" customFormat="1">
      <c r="B1253" s="82"/>
      <c r="C1253" s="149"/>
      <c r="D1253" s="84"/>
      <c r="E1253" s="84"/>
      <c r="F1253" s="84"/>
      <c r="G1253" s="84"/>
      <c r="H1253" s="85"/>
      <c r="I1253" s="86"/>
      <c r="J1253" s="88"/>
    </row>
    <row r="1254" spans="2:10" s="89" customFormat="1">
      <c r="B1254" s="82"/>
      <c r="C1254" s="149"/>
      <c r="D1254" s="84"/>
      <c r="E1254" s="84"/>
      <c r="F1254" s="84"/>
      <c r="G1254" s="84"/>
      <c r="H1254" s="85"/>
      <c r="I1254" s="86"/>
      <c r="J1254" s="88"/>
    </row>
    <row r="1255" spans="2:10" s="89" customFormat="1">
      <c r="B1255" s="82"/>
      <c r="C1255" s="149"/>
      <c r="D1255" s="84"/>
      <c r="E1255" s="84"/>
      <c r="F1255" s="84"/>
      <c r="G1255" s="84"/>
      <c r="H1255" s="85"/>
      <c r="I1255" s="86"/>
      <c r="J1255" s="88"/>
    </row>
    <row r="1256" spans="2:10" s="89" customFormat="1">
      <c r="B1256" s="82"/>
      <c r="C1256" s="149"/>
      <c r="D1256" s="84"/>
      <c r="E1256" s="84"/>
      <c r="F1256" s="84"/>
      <c r="G1256" s="84"/>
      <c r="H1256" s="85"/>
      <c r="I1256" s="86"/>
      <c r="J1256" s="88"/>
    </row>
    <row r="1257" spans="2:10" s="89" customFormat="1">
      <c r="B1257" s="82"/>
      <c r="C1257" s="149"/>
      <c r="D1257" s="84"/>
      <c r="E1257" s="84"/>
      <c r="F1257" s="84"/>
      <c r="G1257" s="84"/>
      <c r="H1257" s="85"/>
      <c r="I1257" s="86"/>
      <c r="J1257" s="88"/>
    </row>
    <row r="1258" spans="2:10" s="89" customFormat="1">
      <c r="B1258" s="82"/>
      <c r="C1258" s="149"/>
      <c r="D1258" s="84"/>
      <c r="E1258" s="84"/>
      <c r="F1258" s="84"/>
      <c r="G1258" s="84"/>
      <c r="H1258" s="85"/>
      <c r="I1258" s="86"/>
      <c r="J1258" s="88"/>
    </row>
    <row r="1259" spans="2:10" s="89" customFormat="1">
      <c r="B1259" s="82"/>
      <c r="C1259" s="149"/>
      <c r="D1259" s="84"/>
      <c r="E1259" s="84"/>
      <c r="F1259" s="84"/>
      <c r="G1259" s="84"/>
      <c r="H1259" s="85"/>
      <c r="I1259" s="86"/>
      <c r="J1259" s="88"/>
    </row>
    <row r="1260" spans="2:10" s="89" customFormat="1">
      <c r="B1260" s="82"/>
      <c r="C1260" s="149"/>
      <c r="D1260" s="84"/>
      <c r="E1260" s="84"/>
      <c r="F1260" s="84"/>
      <c r="G1260" s="84"/>
      <c r="H1260" s="85"/>
      <c r="I1260" s="86"/>
      <c r="J1260" s="88"/>
    </row>
    <row r="1261" spans="2:10" s="89" customFormat="1">
      <c r="B1261" s="82"/>
      <c r="C1261" s="149"/>
      <c r="D1261" s="84"/>
      <c r="E1261" s="84"/>
      <c r="F1261" s="84"/>
      <c r="G1261" s="84"/>
      <c r="H1261" s="85"/>
      <c r="I1261" s="86"/>
      <c r="J1261" s="88"/>
    </row>
    <row r="1262" spans="2:10" s="89" customFormat="1">
      <c r="B1262" s="82"/>
      <c r="C1262" s="149"/>
      <c r="D1262" s="84"/>
      <c r="E1262" s="84"/>
      <c r="F1262" s="84"/>
      <c r="G1262" s="84"/>
      <c r="H1262" s="85"/>
      <c r="I1262" s="86"/>
      <c r="J1262" s="88"/>
    </row>
    <row r="1263" spans="2:10" s="89" customFormat="1">
      <c r="B1263" s="82"/>
      <c r="C1263" s="149"/>
      <c r="D1263" s="84"/>
      <c r="E1263" s="84"/>
      <c r="F1263" s="84"/>
      <c r="G1263" s="84"/>
      <c r="H1263" s="85"/>
      <c r="I1263" s="86"/>
      <c r="J1263" s="88"/>
    </row>
    <row r="1264" spans="2:10" s="89" customFormat="1">
      <c r="B1264" s="82"/>
      <c r="C1264" s="149"/>
      <c r="D1264" s="84"/>
      <c r="E1264" s="84"/>
      <c r="F1264" s="84"/>
      <c r="G1264" s="84"/>
      <c r="H1264" s="85"/>
      <c r="I1264" s="86"/>
      <c r="J1264" s="88"/>
    </row>
    <row r="1265" spans="2:10" s="89" customFormat="1">
      <c r="B1265" s="82"/>
      <c r="C1265" s="149"/>
      <c r="D1265" s="84"/>
      <c r="E1265" s="84"/>
      <c r="F1265" s="84"/>
      <c r="G1265" s="84"/>
      <c r="H1265" s="85"/>
      <c r="I1265" s="86"/>
      <c r="J1265" s="88"/>
    </row>
    <row r="1266" spans="2:10" s="89" customFormat="1">
      <c r="B1266" s="82"/>
      <c r="C1266" s="149"/>
      <c r="D1266" s="84"/>
      <c r="E1266" s="84"/>
      <c r="F1266" s="84"/>
      <c r="G1266" s="84"/>
      <c r="H1266" s="85"/>
      <c r="I1266" s="86"/>
      <c r="J1266" s="88"/>
    </row>
    <row r="1267" spans="2:10" s="89" customFormat="1">
      <c r="B1267" s="82"/>
      <c r="C1267" s="149"/>
      <c r="D1267" s="84"/>
      <c r="E1267" s="84"/>
      <c r="F1267" s="84"/>
      <c r="G1267" s="84"/>
      <c r="H1267" s="85"/>
      <c r="I1267" s="86"/>
      <c r="J1267" s="88"/>
    </row>
    <row r="1268" spans="2:10" s="89" customFormat="1">
      <c r="B1268" s="82"/>
      <c r="C1268" s="149"/>
      <c r="D1268" s="84"/>
      <c r="E1268" s="84"/>
      <c r="F1268" s="84"/>
      <c r="G1268" s="84"/>
      <c r="H1268" s="85"/>
      <c r="I1268" s="86"/>
      <c r="J1268" s="88"/>
    </row>
    <row r="1269" spans="2:10" s="89" customFormat="1">
      <c r="B1269" s="82"/>
      <c r="C1269" s="149"/>
      <c r="D1269" s="84"/>
      <c r="E1269" s="84"/>
      <c r="F1269" s="84"/>
      <c r="G1269" s="84"/>
      <c r="H1269" s="85"/>
      <c r="I1269" s="86"/>
      <c r="J1269" s="88"/>
    </row>
    <row r="1270" spans="2:10" s="89" customFormat="1">
      <c r="B1270" s="82"/>
      <c r="C1270" s="149"/>
      <c r="D1270" s="84"/>
      <c r="E1270" s="84"/>
      <c r="F1270" s="84"/>
      <c r="G1270" s="84"/>
      <c r="H1270" s="85"/>
      <c r="I1270" s="86"/>
      <c r="J1270" s="88"/>
    </row>
    <row r="1271" spans="2:10" s="89" customFormat="1">
      <c r="B1271" s="82"/>
      <c r="C1271" s="149"/>
      <c r="D1271" s="84"/>
      <c r="E1271" s="84"/>
      <c r="F1271" s="84"/>
      <c r="G1271" s="84"/>
      <c r="H1271" s="85"/>
      <c r="I1271" s="86"/>
      <c r="J1271" s="88"/>
    </row>
    <row r="1272" spans="2:10" s="89" customFormat="1">
      <c r="B1272" s="82"/>
      <c r="C1272" s="149"/>
      <c r="D1272" s="84"/>
      <c r="E1272" s="84"/>
      <c r="F1272" s="84"/>
      <c r="G1272" s="84"/>
      <c r="H1272" s="85"/>
      <c r="I1272" s="86"/>
      <c r="J1272" s="88"/>
    </row>
    <row r="1273" spans="2:10" s="89" customFormat="1">
      <c r="B1273" s="82"/>
      <c r="C1273" s="149"/>
      <c r="D1273" s="84"/>
      <c r="E1273" s="84"/>
      <c r="F1273" s="84"/>
      <c r="G1273" s="84"/>
      <c r="H1273" s="85"/>
      <c r="I1273" s="86"/>
      <c r="J1273" s="88"/>
    </row>
    <row r="1274" spans="2:10" s="89" customFormat="1">
      <c r="B1274" s="82"/>
      <c r="C1274" s="149"/>
      <c r="D1274" s="84"/>
      <c r="E1274" s="84"/>
      <c r="F1274" s="84"/>
      <c r="G1274" s="84"/>
      <c r="H1274" s="85"/>
      <c r="I1274" s="86"/>
      <c r="J1274" s="88"/>
    </row>
    <row r="1275" spans="2:10" s="89" customFormat="1">
      <c r="B1275" s="82"/>
      <c r="C1275" s="149"/>
      <c r="D1275" s="84"/>
      <c r="E1275" s="84"/>
      <c r="F1275" s="84"/>
      <c r="G1275" s="84"/>
      <c r="H1275" s="85"/>
      <c r="I1275" s="86"/>
      <c r="J1275" s="88"/>
    </row>
    <row r="1276" spans="2:10" s="89" customFormat="1">
      <c r="B1276" s="82"/>
      <c r="C1276" s="149"/>
      <c r="D1276" s="84"/>
      <c r="E1276" s="84"/>
      <c r="F1276" s="84"/>
      <c r="G1276" s="84"/>
      <c r="H1276" s="85"/>
      <c r="I1276" s="86"/>
      <c r="J1276" s="88"/>
    </row>
    <row r="1277" spans="2:10" s="89" customFormat="1">
      <c r="B1277" s="82"/>
      <c r="C1277" s="149"/>
      <c r="D1277" s="84"/>
      <c r="E1277" s="84"/>
      <c r="F1277" s="84"/>
      <c r="G1277" s="84"/>
      <c r="H1277" s="85"/>
      <c r="I1277" s="86"/>
      <c r="J1277" s="88"/>
    </row>
    <row r="1278" spans="2:10" s="89" customFormat="1">
      <c r="B1278" s="82"/>
      <c r="C1278" s="149"/>
      <c r="D1278" s="84"/>
      <c r="E1278" s="84"/>
      <c r="F1278" s="84"/>
      <c r="G1278" s="84"/>
      <c r="H1278" s="85"/>
      <c r="I1278" s="86"/>
      <c r="J1278" s="88"/>
    </row>
    <row r="1279" spans="2:10" s="89" customFormat="1">
      <c r="B1279" s="82"/>
      <c r="C1279" s="149"/>
      <c r="D1279" s="84"/>
      <c r="E1279" s="84"/>
      <c r="F1279" s="84"/>
      <c r="G1279" s="84"/>
      <c r="H1279" s="85"/>
      <c r="I1279" s="86"/>
      <c r="J1279" s="88"/>
    </row>
    <row r="1280" spans="2:10" s="89" customFormat="1">
      <c r="B1280" s="82"/>
      <c r="C1280" s="149"/>
      <c r="D1280" s="84"/>
      <c r="E1280" s="84"/>
      <c r="F1280" s="84"/>
      <c r="G1280" s="84"/>
      <c r="H1280" s="85"/>
      <c r="I1280" s="86"/>
      <c r="J1280" s="88"/>
    </row>
    <row r="1281" spans="2:10" s="89" customFormat="1">
      <c r="B1281" s="82"/>
      <c r="C1281" s="149"/>
      <c r="D1281" s="84"/>
      <c r="E1281" s="84"/>
      <c r="F1281" s="84"/>
      <c r="G1281" s="84"/>
      <c r="H1281" s="85"/>
      <c r="I1281" s="86"/>
      <c r="J1281" s="88"/>
    </row>
    <row r="1282" spans="2:10" s="89" customFormat="1">
      <c r="B1282" s="82"/>
      <c r="C1282" s="149"/>
      <c r="D1282" s="84"/>
      <c r="E1282" s="84"/>
      <c r="F1282" s="84"/>
      <c r="G1282" s="84"/>
      <c r="H1282" s="85"/>
      <c r="I1282" s="86"/>
      <c r="J1282" s="88"/>
    </row>
    <row r="1283" spans="2:10" s="89" customFormat="1">
      <c r="B1283" s="82"/>
      <c r="C1283" s="149"/>
      <c r="D1283" s="84"/>
      <c r="E1283" s="84"/>
      <c r="F1283" s="84"/>
      <c r="G1283" s="84"/>
      <c r="H1283" s="85"/>
      <c r="I1283" s="86"/>
      <c r="J1283" s="88"/>
    </row>
    <row r="1284" spans="2:10" s="89" customFormat="1">
      <c r="B1284" s="82"/>
      <c r="C1284" s="149"/>
      <c r="D1284" s="84"/>
      <c r="E1284" s="84"/>
      <c r="F1284" s="84"/>
      <c r="G1284" s="84"/>
      <c r="H1284" s="85"/>
      <c r="I1284" s="86"/>
      <c r="J1284" s="88"/>
    </row>
    <row r="1285" spans="2:10" s="89" customFormat="1">
      <c r="B1285" s="82"/>
      <c r="C1285" s="149"/>
      <c r="D1285" s="84"/>
      <c r="E1285" s="84"/>
      <c r="F1285" s="84"/>
      <c r="G1285" s="84"/>
      <c r="H1285" s="85"/>
      <c r="I1285" s="86"/>
      <c r="J1285" s="88"/>
    </row>
    <row r="1286" spans="2:10" s="89" customFormat="1">
      <c r="B1286" s="82"/>
      <c r="C1286" s="149"/>
      <c r="D1286" s="84"/>
      <c r="E1286" s="84"/>
      <c r="F1286" s="84"/>
      <c r="G1286" s="84"/>
      <c r="H1286" s="85"/>
      <c r="I1286" s="86"/>
      <c r="J1286" s="88"/>
    </row>
    <row r="1287" spans="2:10" s="89" customFormat="1">
      <c r="B1287" s="82"/>
      <c r="C1287" s="149"/>
      <c r="D1287" s="84"/>
      <c r="E1287" s="84"/>
      <c r="F1287" s="84"/>
      <c r="G1287" s="84"/>
      <c r="H1287" s="85"/>
      <c r="I1287" s="86"/>
      <c r="J1287" s="88"/>
    </row>
    <row r="1288" spans="2:10" s="89" customFormat="1">
      <c r="B1288" s="82"/>
      <c r="C1288" s="149"/>
      <c r="D1288" s="84"/>
      <c r="E1288" s="84"/>
      <c r="F1288" s="84"/>
      <c r="G1288" s="84"/>
      <c r="H1288" s="85"/>
      <c r="I1288" s="86"/>
      <c r="J1288" s="88"/>
    </row>
    <row r="1289" spans="2:10" s="89" customFormat="1">
      <c r="B1289" s="82"/>
      <c r="C1289" s="149"/>
      <c r="D1289" s="84"/>
      <c r="E1289" s="84"/>
      <c r="F1289" s="84"/>
      <c r="G1289" s="84"/>
      <c r="H1289" s="85"/>
      <c r="I1289" s="86"/>
      <c r="J1289" s="88"/>
    </row>
    <row r="1290" spans="2:10" s="89" customFormat="1">
      <c r="B1290" s="82"/>
      <c r="C1290" s="149"/>
      <c r="D1290" s="84"/>
      <c r="E1290" s="84"/>
      <c r="F1290" s="84"/>
      <c r="G1290" s="84"/>
      <c r="H1290" s="85"/>
      <c r="I1290" s="86"/>
      <c r="J1290" s="88"/>
    </row>
    <row r="1291" spans="2:10" s="89" customFormat="1">
      <c r="B1291" s="82"/>
      <c r="C1291" s="149"/>
      <c r="D1291" s="84"/>
      <c r="E1291" s="84"/>
      <c r="F1291" s="84"/>
      <c r="G1291" s="84"/>
      <c r="H1291" s="85"/>
      <c r="I1291" s="86"/>
      <c r="J1291" s="88"/>
    </row>
    <row r="1292" spans="2:10" s="89" customFormat="1">
      <c r="B1292" s="82"/>
      <c r="C1292" s="149"/>
      <c r="D1292" s="84"/>
      <c r="E1292" s="84"/>
      <c r="F1292" s="84"/>
      <c r="G1292" s="84"/>
      <c r="H1292" s="85"/>
      <c r="I1292" s="86"/>
      <c r="J1292" s="88"/>
    </row>
    <row r="1293" spans="2:10" s="89" customFormat="1">
      <c r="B1293" s="82"/>
      <c r="C1293" s="149"/>
      <c r="D1293" s="84"/>
      <c r="E1293" s="84"/>
      <c r="F1293" s="84"/>
      <c r="G1293" s="84"/>
      <c r="H1293" s="85"/>
      <c r="I1293" s="86"/>
      <c r="J1293" s="88"/>
    </row>
    <row r="1294" spans="2:10" s="89" customFormat="1">
      <c r="B1294" s="82"/>
      <c r="C1294" s="149"/>
      <c r="D1294" s="84"/>
      <c r="E1294" s="84"/>
      <c r="F1294" s="84"/>
      <c r="G1294" s="84"/>
      <c r="H1294" s="85"/>
      <c r="I1294" s="86"/>
      <c r="J1294" s="88"/>
    </row>
    <row r="1295" spans="2:10" s="89" customFormat="1">
      <c r="B1295" s="82"/>
      <c r="C1295" s="149"/>
      <c r="D1295" s="84"/>
      <c r="E1295" s="84"/>
      <c r="F1295" s="84"/>
      <c r="G1295" s="84"/>
      <c r="H1295" s="85"/>
      <c r="I1295" s="86"/>
      <c r="J1295" s="88"/>
    </row>
    <row r="1296" spans="2:10" s="89" customFormat="1">
      <c r="B1296" s="82"/>
      <c r="C1296" s="149"/>
      <c r="D1296" s="84"/>
      <c r="E1296" s="84"/>
      <c r="F1296" s="84"/>
      <c r="G1296" s="84"/>
      <c r="H1296" s="85"/>
      <c r="I1296" s="86"/>
      <c r="J1296" s="88"/>
    </row>
    <row r="1297" spans="2:10" s="89" customFormat="1">
      <c r="B1297" s="82"/>
      <c r="C1297" s="149"/>
      <c r="D1297" s="84"/>
      <c r="E1297" s="84"/>
      <c r="F1297" s="84"/>
      <c r="G1297" s="84"/>
      <c r="H1297" s="85"/>
      <c r="I1297" s="86"/>
      <c r="J1297" s="88"/>
    </row>
    <row r="1298" spans="2:10" s="89" customFormat="1">
      <c r="B1298" s="82"/>
      <c r="C1298" s="149"/>
      <c r="D1298" s="84"/>
      <c r="E1298" s="84"/>
      <c r="F1298" s="84"/>
      <c r="G1298" s="84"/>
      <c r="H1298" s="85"/>
      <c r="I1298" s="86"/>
      <c r="J1298" s="88"/>
    </row>
    <row r="1299" spans="2:10" s="89" customFormat="1">
      <c r="B1299" s="82"/>
      <c r="C1299" s="149"/>
      <c r="D1299" s="84"/>
      <c r="E1299" s="84"/>
      <c r="F1299" s="84"/>
      <c r="G1299" s="84"/>
      <c r="H1299" s="85"/>
      <c r="I1299" s="86"/>
      <c r="J1299" s="88"/>
    </row>
    <row r="1300" spans="2:10" s="89" customFormat="1">
      <c r="B1300" s="82"/>
      <c r="C1300" s="149"/>
      <c r="D1300" s="84"/>
      <c r="E1300" s="84"/>
      <c r="F1300" s="84"/>
      <c r="G1300" s="84"/>
      <c r="H1300" s="85"/>
      <c r="I1300" s="86"/>
      <c r="J1300" s="88"/>
    </row>
    <row r="1301" spans="2:10" s="89" customFormat="1">
      <c r="B1301" s="82"/>
      <c r="C1301" s="149"/>
      <c r="D1301" s="84"/>
      <c r="E1301" s="84"/>
      <c r="F1301" s="84"/>
      <c r="G1301" s="84"/>
      <c r="H1301" s="85"/>
      <c r="I1301" s="86"/>
      <c r="J1301" s="88"/>
    </row>
    <row r="1302" spans="2:10" s="89" customFormat="1">
      <c r="B1302" s="82"/>
      <c r="C1302" s="149"/>
      <c r="D1302" s="84"/>
      <c r="E1302" s="84"/>
      <c r="F1302" s="84"/>
      <c r="G1302" s="84"/>
      <c r="H1302" s="85"/>
      <c r="I1302" s="86"/>
      <c r="J1302" s="88"/>
    </row>
    <row r="1303" spans="2:10" s="89" customFormat="1">
      <c r="B1303" s="82"/>
      <c r="C1303" s="149"/>
      <c r="D1303" s="84"/>
      <c r="E1303" s="84"/>
      <c r="F1303" s="84"/>
      <c r="G1303" s="84"/>
      <c r="H1303" s="85"/>
      <c r="I1303" s="86"/>
      <c r="J1303" s="88"/>
    </row>
    <row r="1304" spans="2:10" s="89" customFormat="1">
      <c r="B1304" s="82"/>
      <c r="C1304" s="149"/>
      <c r="D1304" s="84"/>
      <c r="E1304" s="84"/>
      <c r="F1304" s="84"/>
      <c r="G1304" s="84"/>
      <c r="H1304" s="85"/>
      <c r="I1304" s="86"/>
      <c r="J1304" s="88"/>
    </row>
    <row r="1305" spans="2:10" s="89" customFormat="1">
      <c r="B1305" s="82"/>
      <c r="C1305" s="149"/>
      <c r="D1305" s="84"/>
      <c r="E1305" s="84"/>
      <c r="F1305" s="84"/>
      <c r="G1305" s="84"/>
      <c r="H1305" s="85"/>
      <c r="I1305" s="86"/>
      <c r="J1305" s="88"/>
    </row>
    <row r="1306" spans="2:10" s="89" customFormat="1">
      <c r="B1306" s="82"/>
      <c r="C1306" s="149"/>
      <c r="D1306" s="84"/>
      <c r="E1306" s="84"/>
      <c r="F1306" s="84"/>
      <c r="G1306" s="84"/>
      <c r="H1306" s="85"/>
      <c r="I1306" s="86"/>
      <c r="J1306" s="88"/>
    </row>
    <row r="1307" spans="2:10" s="89" customFormat="1">
      <c r="B1307" s="82"/>
      <c r="C1307" s="149"/>
      <c r="D1307" s="84"/>
      <c r="E1307" s="84"/>
      <c r="F1307" s="84"/>
      <c r="G1307" s="84"/>
      <c r="H1307" s="85"/>
      <c r="I1307" s="86"/>
      <c r="J1307" s="88"/>
    </row>
    <row r="1308" spans="2:10" s="89" customFormat="1">
      <c r="B1308" s="82"/>
      <c r="C1308" s="149"/>
      <c r="D1308" s="84"/>
      <c r="E1308" s="84"/>
      <c r="F1308" s="84"/>
      <c r="G1308" s="84"/>
      <c r="H1308" s="85"/>
      <c r="I1308" s="86"/>
      <c r="J1308" s="88"/>
    </row>
    <row r="1309" spans="2:10" s="89" customFormat="1">
      <c r="B1309" s="82"/>
      <c r="C1309" s="149"/>
      <c r="D1309" s="84"/>
      <c r="E1309" s="84"/>
      <c r="F1309" s="84"/>
      <c r="G1309" s="84"/>
      <c r="H1309" s="85"/>
      <c r="I1309" s="86"/>
      <c r="J1309" s="88"/>
    </row>
    <row r="1310" spans="2:10" s="89" customFormat="1">
      <c r="B1310" s="82"/>
      <c r="C1310" s="149"/>
      <c r="D1310" s="84"/>
      <c r="E1310" s="84"/>
      <c r="F1310" s="84"/>
      <c r="G1310" s="84"/>
      <c r="H1310" s="85"/>
      <c r="I1310" s="86"/>
      <c r="J1310" s="88"/>
    </row>
    <row r="1311" spans="2:10" s="89" customFormat="1">
      <c r="B1311" s="82"/>
      <c r="C1311" s="149"/>
      <c r="D1311" s="84"/>
      <c r="E1311" s="84"/>
      <c r="F1311" s="84"/>
      <c r="G1311" s="84"/>
      <c r="H1311" s="85"/>
      <c r="I1311" s="86"/>
      <c r="J1311" s="88"/>
    </row>
    <row r="1312" spans="2:10" s="89" customFormat="1">
      <c r="B1312" s="82"/>
      <c r="C1312" s="149"/>
      <c r="D1312" s="84"/>
      <c r="E1312" s="84"/>
      <c r="F1312" s="84"/>
      <c r="G1312" s="84"/>
      <c r="H1312" s="85"/>
      <c r="I1312" s="86"/>
      <c r="J1312" s="88"/>
    </row>
    <row r="1313" spans="2:10" s="89" customFormat="1">
      <c r="B1313" s="82"/>
      <c r="C1313" s="149"/>
      <c r="D1313" s="84"/>
      <c r="E1313" s="84"/>
      <c r="F1313" s="84"/>
      <c r="G1313" s="84"/>
      <c r="H1313" s="85"/>
      <c r="I1313" s="86"/>
      <c r="J1313" s="88"/>
    </row>
    <row r="1314" spans="2:10" s="89" customFormat="1">
      <c r="B1314" s="82"/>
      <c r="C1314" s="149"/>
      <c r="D1314" s="84"/>
      <c r="E1314" s="84"/>
      <c r="F1314" s="84"/>
      <c r="G1314" s="84"/>
      <c r="H1314" s="85"/>
      <c r="I1314" s="86"/>
      <c r="J1314" s="88"/>
    </row>
    <row r="1315" spans="2:10" s="89" customFormat="1">
      <c r="B1315" s="82"/>
      <c r="C1315" s="149"/>
      <c r="D1315" s="84"/>
      <c r="E1315" s="84"/>
      <c r="F1315" s="84"/>
      <c r="G1315" s="84"/>
      <c r="H1315" s="85"/>
      <c r="I1315" s="86"/>
      <c r="J1315" s="88"/>
    </row>
    <row r="1316" spans="2:10" s="89" customFormat="1">
      <c r="B1316" s="82"/>
      <c r="C1316" s="149"/>
      <c r="D1316" s="84"/>
      <c r="E1316" s="84"/>
      <c r="F1316" s="84"/>
      <c r="G1316" s="84"/>
      <c r="H1316" s="85"/>
      <c r="I1316" s="86"/>
      <c r="J1316" s="88"/>
    </row>
    <row r="1317" spans="2:10" s="89" customFormat="1">
      <c r="B1317" s="82"/>
      <c r="C1317" s="149"/>
      <c r="D1317" s="84"/>
      <c r="E1317" s="84"/>
      <c r="F1317" s="84"/>
      <c r="G1317" s="84"/>
      <c r="H1317" s="85"/>
      <c r="I1317" s="86"/>
      <c r="J1317" s="88"/>
    </row>
    <row r="1318" spans="2:10" s="89" customFormat="1">
      <c r="B1318" s="82"/>
      <c r="C1318" s="149"/>
      <c r="D1318" s="84"/>
      <c r="E1318" s="84"/>
      <c r="F1318" s="84"/>
      <c r="G1318" s="84"/>
      <c r="H1318" s="85"/>
      <c r="I1318" s="86"/>
      <c r="J1318" s="88"/>
    </row>
    <row r="1319" spans="2:10" s="89" customFormat="1">
      <c r="B1319" s="82"/>
      <c r="C1319" s="149"/>
      <c r="D1319" s="84"/>
      <c r="E1319" s="84"/>
      <c r="F1319" s="84"/>
      <c r="G1319" s="84"/>
      <c r="H1319" s="85"/>
      <c r="I1319" s="86"/>
      <c r="J1319" s="88"/>
    </row>
    <row r="1320" spans="2:10" s="89" customFormat="1">
      <c r="B1320" s="82"/>
      <c r="C1320" s="149"/>
      <c r="D1320" s="84"/>
      <c r="E1320" s="84"/>
      <c r="F1320" s="84"/>
      <c r="G1320" s="84"/>
      <c r="H1320" s="85"/>
      <c r="I1320" s="86"/>
      <c r="J1320" s="88"/>
    </row>
    <row r="1321" spans="2:10" s="89" customFormat="1">
      <c r="B1321" s="82"/>
      <c r="C1321" s="149"/>
      <c r="D1321" s="84"/>
      <c r="E1321" s="84"/>
      <c r="F1321" s="84"/>
      <c r="G1321" s="84"/>
      <c r="H1321" s="85"/>
      <c r="I1321" s="86"/>
      <c r="J1321" s="88"/>
    </row>
    <row r="1322" spans="2:10" s="89" customFormat="1">
      <c r="B1322" s="82"/>
      <c r="C1322" s="149"/>
      <c r="D1322" s="84"/>
      <c r="E1322" s="84"/>
      <c r="F1322" s="84"/>
      <c r="G1322" s="84"/>
      <c r="H1322" s="85"/>
      <c r="I1322" s="86"/>
      <c r="J1322" s="88"/>
    </row>
    <row r="1323" spans="2:10" s="89" customFormat="1">
      <c r="B1323" s="82"/>
      <c r="C1323" s="149"/>
      <c r="D1323" s="84"/>
      <c r="E1323" s="84"/>
      <c r="F1323" s="84"/>
      <c r="G1323" s="84"/>
      <c r="H1323" s="85"/>
      <c r="I1323" s="86"/>
      <c r="J1323" s="88"/>
    </row>
    <row r="1324" spans="2:10" s="89" customFormat="1">
      <c r="B1324" s="82"/>
      <c r="C1324" s="149"/>
      <c r="D1324" s="84"/>
      <c r="E1324" s="84"/>
      <c r="F1324" s="84"/>
      <c r="G1324" s="84"/>
      <c r="H1324" s="85"/>
      <c r="I1324" s="86"/>
      <c r="J1324" s="88"/>
    </row>
    <row r="1325" spans="2:10" s="89" customFormat="1">
      <c r="B1325" s="82"/>
      <c r="C1325" s="149"/>
      <c r="D1325" s="84"/>
      <c r="E1325" s="84"/>
      <c r="F1325" s="84"/>
      <c r="G1325" s="84"/>
      <c r="H1325" s="85"/>
      <c r="I1325" s="86"/>
      <c r="J1325" s="88"/>
    </row>
    <row r="1326" spans="2:10" s="89" customFormat="1">
      <c r="B1326" s="82"/>
      <c r="C1326" s="149"/>
      <c r="D1326" s="84"/>
      <c r="E1326" s="84"/>
      <c r="F1326" s="84"/>
      <c r="G1326" s="84"/>
      <c r="H1326" s="85"/>
      <c r="I1326" s="86"/>
      <c r="J1326" s="88"/>
    </row>
    <row r="1327" spans="2:10" s="89" customFormat="1">
      <c r="B1327" s="82"/>
      <c r="C1327" s="149"/>
      <c r="D1327" s="84"/>
      <c r="E1327" s="84"/>
      <c r="F1327" s="84"/>
      <c r="G1327" s="84"/>
      <c r="H1327" s="85"/>
      <c r="I1327" s="86"/>
      <c r="J1327" s="88"/>
    </row>
    <row r="1328" spans="2:10" s="89" customFormat="1">
      <c r="B1328" s="82"/>
      <c r="C1328" s="149"/>
      <c r="D1328" s="84"/>
      <c r="E1328" s="84"/>
      <c r="F1328" s="84"/>
      <c r="G1328" s="84"/>
      <c r="H1328" s="85"/>
      <c r="I1328" s="86"/>
      <c r="J1328" s="88"/>
    </row>
    <row r="1329" spans="2:10" s="89" customFormat="1">
      <c r="B1329" s="82"/>
      <c r="C1329" s="149"/>
      <c r="D1329" s="84"/>
      <c r="E1329" s="84"/>
      <c r="F1329" s="84"/>
      <c r="G1329" s="84"/>
      <c r="H1329" s="85"/>
      <c r="I1329" s="86"/>
      <c r="J1329" s="88"/>
    </row>
    <row r="1330" spans="2:10" s="89" customFormat="1">
      <c r="B1330" s="82"/>
      <c r="C1330" s="149"/>
      <c r="D1330" s="84"/>
      <c r="E1330" s="84"/>
      <c r="F1330" s="84"/>
      <c r="G1330" s="84"/>
      <c r="H1330" s="85"/>
      <c r="I1330" s="86"/>
      <c r="J1330" s="88"/>
    </row>
    <row r="1331" spans="2:10" s="89" customFormat="1">
      <c r="B1331" s="82"/>
      <c r="C1331" s="149"/>
      <c r="D1331" s="84"/>
      <c r="E1331" s="84"/>
      <c r="F1331" s="84"/>
      <c r="G1331" s="84"/>
      <c r="H1331" s="85"/>
      <c r="I1331" s="86"/>
      <c r="J1331" s="88"/>
    </row>
    <row r="1332" spans="2:10" s="89" customFormat="1">
      <c r="B1332" s="82"/>
      <c r="C1332" s="149"/>
      <c r="D1332" s="84"/>
      <c r="E1332" s="84"/>
      <c r="F1332" s="84"/>
      <c r="G1332" s="84"/>
      <c r="H1332" s="85"/>
      <c r="I1332" s="86"/>
      <c r="J1332" s="88"/>
    </row>
    <row r="1333" spans="2:10" s="89" customFormat="1">
      <c r="B1333" s="82"/>
      <c r="C1333" s="149"/>
      <c r="D1333" s="84"/>
      <c r="E1333" s="84"/>
      <c r="F1333" s="84"/>
      <c r="G1333" s="84"/>
      <c r="H1333" s="85"/>
      <c r="I1333" s="86"/>
      <c r="J1333" s="88"/>
    </row>
    <row r="1334" spans="2:10" s="89" customFormat="1">
      <c r="B1334" s="82"/>
      <c r="C1334" s="149"/>
      <c r="D1334" s="84"/>
      <c r="E1334" s="84"/>
      <c r="F1334" s="84"/>
      <c r="G1334" s="84"/>
      <c r="H1334" s="85"/>
      <c r="I1334" s="86"/>
      <c r="J1334" s="88"/>
    </row>
    <row r="1335" spans="2:10" s="89" customFormat="1">
      <c r="B1335" s="82"/>
      <c r="C1335" s="149"/>
      <c r="D1335" s="84"/>
      <c r="E1335" s="84"/>
      <c r="F1335" s="84"/>
      <c r="G1335" s="84"/>
      <c r="H1335" s="85"/>
      <c r="I1335" s="86"/>
      <c r="J1335" s="88"/>
    </row>
    <row r="1336" spans="2:10" s="89" customFormat="1">
      <c r="B1336" s="82"/>
      <c r="C1336" s="149"/>
      <c r="D1336" s="84"/>
      <c r="E1336" s="84"/>
      <c r="F1336" s="84"/>
      <c r="G1336" s="84"/>
      <c r="H1336" s="85"/>
      <c r="I1336" s="86"/>
      <c r="J1336" s="88"/>
    </row>
    <row r="1337" spans="2:10" s="89" customFormat="1">
      <c r="B1337" s="82"/>
      <c r="C1337" s="149"/>
      <c r="D1337" s="84"/>
      <c r="E1337" s="84"/>
      <c r="F1337" s="84"/>
      <c r="G1337" s="84"/>
      <c r="H1337" s="85"/>
      <c r="I1337" s="86"/>
      <c r="J1337" s="88"/>
    </row>
    <row r="1338" spans="2:10" s="89" customFormat="1">
      <c r="B1338" s="82"/>
      <c r="C1338" s="149"/>
      <c r="D1338" s="84"/>
      <c r="E1338" s="84"/>
      <c r="F1338" s="84"/>
      <c r="G1338" s="84"/>
      <c r="H1338" s="85"/>
      <c r="I1338" s="86"/>
      <c r="J1338" s="88"/>
    </row>
    <row r="1339" spans="2:10" s="89" customFormat="1">
      <c r="B1339" s="82"/>
      <c r="C1339" s="149"/>
      <c r="D1339" s="84"/>
      <c r="E1339" s="84"/>
      <c r="F1339" s="84"/>
      <c r="G1339" s="84"/>
      <c r="H1339" s="85"/>
      <c r="I1339" s="86"/>
      <c r="J1339" s="88"/>
    </row>
    <row r="1340" spans="2:10" s="89" customFormat="1">
      <c r="B1340" s="82"/>
      <c r="C1340" s="149"/>
      <c r="D1340" s="84"/>
      <c r="E1340" s="84"/>
      <c r="F1340" s="84"/>
      <c r="G1340" s="84"/>
      <c r="H1340" s="85"/>
      <c r="I1340" s="86"/>
      <c r="J1340" s="88"/>
    </row>
    <row r="1341" spans="2:10" s="89" customFormat="1">
      <c r="B1341" s="82"/>
      <c r="C1341" s="149"/>
      <c r="D1341" s="84"/>
      <c r="E1341" s="84"/>
      <c r="F1341" s="84"/>
      <c r="G1341" s="84"/>
      <c r="H1341" s="85"/>
      <c r="I1341" s="86"/>
      <c r="J1341" s="88"/>
    </row>
    <row r="1342" spans="2:10" s="89" customFormat="1">
      <c r="B1342" s="82"/>
      <c r="C1342" s="149"/>
      <c r="D1342" s="84"/>
      <c r="E1342" s="84"/>
      <c r="F1342" s="84"/>
      <c r="G1342" s="84"/>
      <c r="H1342" s="85"/>
      <c r="I1342" s="86"/>
      <c r="J1342" s="88"/>
    </row>
    <row r="1343" spans="2:10" s="89" customFormat="1">
      <c r="B1343" s="82"/>
      <c r="C1343" s="149"/>
      <c r="D1343" s="84"/>
      <c r="E1343" s="84"/>
      <c r="F1343" s="84"/>
      <c r="G1343" s="84"/>
      <c r="H1343" s="85"/>
      <c r="I1343" s="86"/>
      <c r="J1343" s="88"/>
    </row>
    <row r="1344" spans="2:10" s="89" customFormat="1">
      <c r="B1344" s="82"/>
      <c r="C1344" s="149"/>
      <c r="D1344" s="84"/>
      <c r="E1344" s="84"/>
      <c r="F1344" s="84"/>
      <c r="G1344" s="84"/>
      <c r="H1344" s="85"/>
      <c r="I1344" s="86"/>
      <c r="J1344" s="88"/>
    </row>
    <row r="1345" spans="2:10" s="89" customFormat="1">
      <c r="B1345" s="82"/>
      <c r="C1345" s="149"/>
      <c r="D1345" s="84"/>
      <c r="E1345" s="84"/>
      <c r="F1345" s="84"/>
      <c r="G1345" s="84"/>
      <c r="H1345" s="85"/>
      <c r="I1345" s="86"/>
      <c r="J1345" s="88"/>
    </row>
    <row r="1346" spans="2:10" s="89" customFormat="1">
      <c r="B1346" s="82"/>
      <c r="C1346" s="149"/>
      <c r="D1346" s="84"/>
      <c r="E1346" s="84"/>
      <c r="F1346" s="84"/>
      <c r="G1346" s="84"/>
      <c r="H1346" s="85"/>
      <c r="I1346" s="86"/>
      <c r="J1346" s="88"/>
    </row>
    <row r="1347" spans="2:10" s="89" customFormat="1">
      <c r="B1347" s="82"/>
      <c r="C1347" s="149"/>
      <c r="D1347" s="84"/>
      <c r="E1347" s="84"/>
      <c r="F1347" s="84"/>
      <c r="G1347" s="84"/>
      <c r="H1347" s="85"/>
      <c r="I1347" s="86"/>
      <c r="J1347" s="88"/>
    </row>
    <row r="1348" spans="2:10" s="89" customFormat="1">
      <c r="B1348" s="82"/>
      <c r="C1348" s="149"/>
      <c r="D1348" s="84"/>
      <c r="E1348" s="84"/>
      <c r="F1348" s="84"/>
      <c r="G1348" s="84"/>
      <c r="H1348" s="85"/>
      <c r="I1348" s="86"/>
      <c r="J1348" s="88"/>
    </row>
    <row r="1349" spans="2:10" s="89" customFormat="1">
      <c r="B1349" s="82"/>
      <c r="C1349" s="149"/>
      <c r="D1349" s="84"/>
      <c r="E1349" s="84"/>
      <c r="F1349" s="84"/>
      <c r="G1349" s="84"/>
      <c r="H1349" s="85"/>
      <c r="I1349" s="86"/>
      <c r="J1349" s="88"/>
    </row>
    <row r="1350" spans="2:10" s="89" customFormat="1">
      <c r="B1350" s="82"/>
      <c r="C1350" s="149"/>
      <c r="D1350" s="84"/>
      <c r="E1350" s="84"/>
      <c r="F1350" s="84"/>
      <c r="G1350" s="84"/>
      <c r="H1350" s="85"/>
      <c r="I1350" s="86"/>
      <c r="J1350" s="88"/>
    </row>
    <row r="1351" spans="2:10" s="89" customFormat="1">
      <c r="B1351" s="82"/>
      <c r="C1351" s="149"/>
      <c r="D1351" s="84"/>
      <c r="E1351" s="84"/>
      <c r="F1351" s="84"/>
      <c r="G1351" s="84"/>
      <c r="H1351" s="85"/>
      <c r="I1351" s="86"/>
      <c r="J1351" s="88"/>
    </row>
    <row r="1352" spans="2:10" s="89" customFormat="1">
      <c r="B1352" s="82"/>
      <c r="C1352" s="149"/>
      <c r="D1352" s="84"/>
      <c r="E1352" s="84"/>
      <c r="F1352" s="84"/>
      <c r="G1352" s="84"/>
      <c r="H1352" s="85"/>
      <c r="I1352" s="86"/>
      <c r="J1352" s="88"/>
    </row>
    <row r="1353" spans="2:10" s="89" customFormat="1">
      <c r="B1353" s="82"/>
      <c r="C1353" s="149"/>
      <c r="D1353" s="84"/>
      <c r="E1353" s="84"/>
      <c r="F1353" s="84"/>
      <c r="G1353" s="84"/>
      <c r="H1353" s="85"/>
      <c r="I1353" s="86"/>
      <c r="J1353" s="88"/>
    </row>
    <row r="1354" spans="2:10" s="89" customFormat="1">
      <c r="B1354" s="82"/>
      <c r="C1354" s="149"/>
      <c r="D1354" s="84"/>
      <c r="E1354" s="84"/>
      <c r="F1354" s="84"/>
      <c r="G1354" s="84"/>
      <c r="H1354" s="85"/>
      <c r="I1354" s="86"/>
      <c r="J1354" s="88"/>
    </row>
    <row r="1355" spans="2:10" s="89" customFormat="1">
      <c r="B1355" s="82"/>
      <c r="C1355" s="149"/>
      <c r="D1355" s="84"/>
      <c r="E1355" s="84"/>
      <c r="F1355" s="84"/>
      <c r="G1355" s="84"/>
      <c r="H1355" s="85"/>
      <c r="I1355" s="86"/>
      <c r="J1355" s="88"/>
    </row>
    <row r="1356" spans="2:10" s="89" customFormat="1">
      <c r="B1356" s="82"/>
      <c r="C1356" s="149"/>
      <c r="D1356" s="84"/>
      <c r="E1356" s="84"/>
      <c r="F1356" s="84"/>
      <c r="G1356" s="84"/>
      <c r="H1356" s="85"/>
      <c r="I1356" s="86"/>
      <c r="J1356" s="88"/>
    </row>
    <row r="1357" spans="2:10" s="89" customFormat="1">
      <c r="B1357" s="82"/>
      <c r="C1357" s="149"/>
      <c r="D1357" s="84"/>
      <c r="E1357" s="84"/>
      <c r="F1357" s="84"/>
      <c r="G1357" s="84"/>
      <c r="H1357" s="85"/>
      <c r="I1357" s="86"/>
      <c r="J1357" s="88"/>
    </row>
    <row r="1358" spans="2:10" s="89" customFormat="1">
      <c r="B1358" s="82"/>
      <c r="C1358" s="149"/>
      <c r="D1358" s="84"/>
      <c r="E1358" s="84"/>
      <c r="F1358" s="84"/>
      <c r="G1358" s="84"/>
      <c r="H1358" s="85"/>
      <c r="I1358" s="86"/>
      <c r="J1358" s="88"/>
    </row>
    <row r="1359" spans="2:10" s="89" customFormat="1">
      <c r="B1359" s="82"/>
      <c r="C1359" s="149"/>
      <c r="D1359" s="84"/>
      <c r="E1359" s="84"/>
      <c r="F1359" s="84"/>
      <c r="G1359" s="84"/>
      <c r="H1359" s="85"/>
      <c r="I1359" s="86"/>
      <c r="J1359" s="88"/>
    </row>
    <row r="1360" spans="2:10" s="89" customFormat="1">
      <c r="B1360" s="82"/>
      <c r="C1360" s="149"/>
      <c r="D1360" s="84"/>
      <c r="E1360" s="84"/>
      <c r="F1360" s="84"/>
      <c r="G1360" s="84"/>
      <c r="H1360" s="85"/>
      <c r="I1360" s="86"/>
      <c r="J1360" s="88"/>
    </row>
    <row r="1361" spans="2:10" s="89" customFormat="1">
      <c r="B1361" s="82"/>
      <c r="C1361" s="149"/>
      <c r="D1361" s="84"/>
      <c r="E1361" s="84"/>
      <c r="F1361" s="84"/>
      <c r="G1361" s="84"/>
      <c r="H1361" s="85"/>
      <c r="I1361" s="86"/>
      <c r="J1361" s="88"/>
    </row>
    <row r="1362" spans="2:10" s="89" customFormat="1">
      <c r="B1362" s="82"/>
      <c r="C1362" s="149"/>
      <c r="D1362" s="84"/>
      <c r="E1362" s="84"/>
      <c r="F1362" s="84"/>
      <c r="G1362" s="84"/>
      <c r="H1362" s="85"/>
      <c r="I1362" s="86"/>
      <c r="J1362" s="88"/>
    </row>
    <row r="1363" spans="2:10" s="89" customFormat="1">
      <c r="B1363" s="82"/>
      <c r="C1363" s="149"/>
      <c r="D1363" s="84"/>
      <c r="E1363" s="84"/>
      <c r="F1363" s="84"/>
      <c r="G1363" s="84"/>
      <c r="H1363" s="85"/>
      <c r="I1363" s="86"/>
      <c r="J1363" s="88"/>
    </row>
    <row r="1364" spans="2:10" s="89" customFormat="1">
      <c r="B1364" s="82"/>
      <c r="C1364" s="149"/>
      <c r="D1364" s="84"/>
      <c r="E1364" s="84"/>
      <c r="F1364" s="84"/>
      <c r="G1364" s="84"/>
      <c r="H1364" s="85"/>
      <c r="I1364" s="86"/>
      <c r="J1364" s="88"/>
    </row>
    <row r="1365" spans="2:10" s="89" customFormat="1">
      <c r="B1365" s="82"/>
      <c r="C1365" s="149"/>
      <c r="D1365" s="84"/>
      <c r="E1365" s="84"/>
      <c r="F1365" s="84"/>
      <c r="G1365" s="84"/>
      <c r="H1365" s="85"/>
      <c r="I1365" s="86"/>
      <c r="J1365" s="88"/>
    </row>
    <row r="1366" spans="2:10" s="89" customFormat="1">
      <c r="B1366" s="82"/>
      <c r="C1366" s="149"/>
      <c r="D1366" s="84"/>
      <c r="E1366" s="84"/>
      <c r="F1366" s="84"/>
      <c r="G1366" s="84"/>
      <c r="H1366" s="85"/>
      <c r="I1366" s="86"/>
      <c r="J1366" s="88"/>
    </row>
    <row r="1367" spans="2:10" s="89" customFormat="1">
      <c r="B1367" s="82"/>
      <c r="C1367" s="149"/>
      <c r="D1367" s="84"/>
      <c r="E1367" s="84"/>
      <c r="F1367" s="84"/>
      <c r="G1367" s="84"/>
      <c r="H1367" s="85"/>
      <c r="I1367" s="86"/>
      <c r="J1367" s="88"/>
    </row>
    <row r="1368" spans="2:10" s="89" customFormat="1">
      <c r="B1368" s="82"/>
      <c r="C1368" s="149"/>
      <c r="D1368" s="84"/>
      <c r="E1368" s="84"/>
      <c r="F1368" s="84"/>
      <c r="G1368" s="84"/>
      <c r="H1368" s="85"/>
      <c r="I1368" s="86"/>
      <c r="J1368" s="88"/>
    </row>
    <row r="1369" spans="2:10" s="89" customFormat="1">
      <c r="B1369" s="82"/>
      <c r="C1369" s="149"/>
      <c r="D1369" s="84"/>
      <c r="E1369" s="84"/>
      <c r="F1369" s="84"/>
      <c r="G1369" s="84"/>
      <c r="H1369" s="85"/>
      <c r="I1369" s="86"/>
      <c r="J1369" s="88"/>
    </row>
    <row r="1370" spans="2:10" s="89" customFormat="1">
      <c r="B1370" s="82"/>
      <c r="C1370" s="149"/>
      <c r="D1370" s="84"/>
      <c r="E1370" s="84"/>
      <c r="F1370" s="84"/>
      <c r="G1370" s="84"/>
      <c r="H1370" s="85"/>
      <c r="I1370" s="86"/>
      <c r="J1370" s="88"/>
    </row>
    <row r="1371" spans="2:10" s="89" customFormat="1">
      <c r="B1371" s="82"/>
      <c r="C1371" s="149"/>
      <c r="D1371" s="84"/>
      <c r="E1371" s="84"/>
      <c r="F1371" s="84"/>
      <c r="G1371" s="84"/>
      <c r="H1371" s="85"/>
      <c r="I1371" s="86"/>
      <c r="J1371" s="88"/>
    </row>
    <row r="1372" spans="2:10" s="89" customFormat="1">
      <c r="B1372" s="82"/>
      <c r="C1372" s="149"/>
      <c r="D1372" s="84"/>
      <c r="E1372" s="84"/>
      <c r="F1372" s="84"/>
      <c r="G1372" s="84"/>
      <c r="H1372" s="85"/>
      <c r="I1372" s="86"/>
      <c r="J1372" s="88"/>
    </row>
    <row r="1373" spans="2:10" s="89" customFormat="1">
      <c r="B1373" s="82"/>
      <c r="C1373" s="149"/>
      <c r="D1373" s="84"/>
      <c r="E1373" s="84"/>
      <c r="F1373" s="84"/>
      <c r="G1373" s="84"/>
      <c r="H1373" s="85"/>
      <c r="I1373" s="86"/>
      <c r="J1373" s="88"/>
    </row>
    <row r="1374" spans="2:10" s="89" customFormat="1">
      <c r="B1374" s="82"/>
      <c r="C1374" s="149"/>
      <c r="D1374" s="84"/>
      <c r="E1374" s="84"/>
      <c r="F1374" s="84"/>
      <c r="G1374" s="84"/>
      <c r="H1374" s="85"/>
      <c r="I1374" s="86"/>
      <c r="J1374" s="88"/>
    </row>
    <row r="1375" spans="2:10" s="89" customFormat="1">
      <c r="B1375" s="82"/>
      <c r="C1375" s="149"/>
      <c r="D1375" s="84"/>
      <c r="E1375" s="84"/>
      <c r="F1375" s="84"/>
      <c r="G1375" s="84"/>
      <c r="H1375" s="85"/>
      <c r="I1375" s="86"/>
      <c r="J1375" s="88"/>
    </row>
    <row r="1376" spans="2:10" s="89" customFormat="1">
      <c r="B1376" s="82"/>
      <c r="C1376" s="149"/>
      <c r="D1376" s="84"/>
      <c r="E1376" s="84"/>
      <c r="F1376" s="84"/>
      <c r="G1376" s="84"/>
      <c r="H1376" s="85"/>
      <c r="I1376" s="86"/>
      <c r="J1376" s="88"/>
    </row>
    <row r="1377" spans="2:10" s="89" customFormat="1">
      <c r="B1377" s="82"/>
      <c r="C1377" s="149"/>
      <c r="D1377" s="84"/>
      <c r="E1377" s="84"/>
      <c r="F1377" s="84"/>
      <c r="G1377" s="84"/>
      <c r="H1377" s="85"/>
      <c r="I1377" s="86"/>
      <c r="J1377" s="88"/>
    </row>
    <row r="1378" spans="2:10" s="89" customFormat="1">
      <c r="B1378" s="82"/>
      <c r="C1378" s="149"/>
      <c r="D1378" s="84"/>
      <c r="E1378" s="84"/>
      <c r="F1378" s="84"/>
      <c r="G1378" s="84"/>
      <c r="H1378" s="85"/>
      <c r="I1378" s="86"/>
      <c r="J1378" s="88"/>
    </row>
    <row r="1379" spans="2:10" s="89" customFormat="1">
      <c r="B1379" s="82"/>
      <c r="C1379" s="149"/>
      <c r="D1379" s="84"/>
      <c r="E1379" s="84"/>
      <c r="F1379" s="84"/>
      <c r="G1379" s="84"/>
      <c r="H1379" s="85"/>
      <c r="I1379" s="86"/>
      <c r="J1379" s="88"/>
    </row>
    <row r="1380" spans="2:10" s="89" customFormat="1">
      <c r="B1380" s="82"/>
      <c r="C1380" s="149"/>
      <c r="D1380" s="84"/>
      <c r="E1380" s="84"/>
      <c r="F1380" s="84"/>
      <c r="G1380" s="84"/>
      <c r="H1380" s="85"/>
      <c r="I1380" s="86"/>
      <c r="J1380" s="88"/>
    </row>
    <row r="1381" spans="2:10" s="89" customFormat="1">
      <c r="B1381" s="82"/>
      <c r="C1381" s="149"/>
      <c r="D1381" s="84"/>
      <c r="E1381" s="84"/>
      <c r="F1381" s="84"/>
      <c r="G1381" s="84"/>
      <c r="H1381" s="85"/>
      <c r="I1381" s="86"/>
      <c r="J1381" s="88"/>
    </row>
    <row r="1382" spans="2:10" s="89" customFormat="1">
      <c r="B1382" s="82"/>
      <c r="C1382" s="149"/>
      <c r="D1382" s="84"/>
      <c r="E1382" s="84"/>
      <c r="F1382" s="84"/>
      <c r="G1382" s="84"/>
      <c r="H1382" s="85"/>
      <c r="I1382" s="86"/>
      <c r="J1382" s="88"/>
    </row>
    <row r="1383" spans="2:10" s="89" customFormat="1">
      <c r="B1383" s="82"/>
      <c r="C1383" s="149"/>
      <c r="D1383" s="84"/>
      <c r="E1383" s="84"/>
      <c r="F1383" s="84"/>
      <c r="G1383" s="84"/>
      <c r="H1383" s="85"/>
      <c r="I1383" s="86"/>
      <c r="J1383" s="88"/>
    </row>
    <row r="1384" spans="2:10" s="89" customFormat="1">
      <c r="B1384" s="82"/>
      <c r="C1384" s="149"/>
      <c r="D1384" s="84"/>
      <c r="E1384" s="84"/>
      <c r="F1384" s="84"/>
      <c r="G1384" s="84"/>
      <c r="H1384" s="85"/>
      <c r="I1384" s="86"/>
      <c r="J1384" s="88"/>
    </row>
    <row r="1385" spans="2:10" s="89" customFormat="1">
      <c r="B1385" s="82"/>
      <c r="C1385" s="149"/>
      <c r="D1385" s="84"/>
      <c r="E1385" s="84"/>
      <c r="F1385" s="84"/>
      <c r="G1385" s="84"/>
      <c r="H1385" s="85"/>
      <c r="I1385" s="86"/>
      <c r="J1385" s="88"/>
    </row>
    <row r="1386" spans="2:10" s="89" customFormat="1">
      <c r="B1386" s="82"/>
      <c r="C1386" s="149"/>
      <c r="D1386" s="84"/>
      <c r="E1386" s="84"/>
      <c r="F1386" s="84"/>
      <c r="G1386" s="84"/>
      <c r="H1386" s="85"/>
      <c r="I1386" s="86"/>
      <c r="J1386" s="88"/>
    </row>
    <row r="1387" spans="2:10" s="89" customFormat="1">
      <c r="B1387" s="82"/>
      <c r="C1387" s="149"/>
      <c r="D1387" s="84"/>
      <c r="E1387" s="84"/>
      <c r="F1387" s="84"/>
      <c r="G1387" s="84"/>
      <c r="H1387" s="85"/>
      <c r="I1387" s="86"/>
      <c r="J1387" s="88"/>
    </row>
    <row r="1388" spans="2:10" s="89" customFormat="1">
      <c r="B1388" s="82"/>
      <c r="C1388" s="149"/>
      <c r="D1388" s="84"/>
      <c r="E1388" s="84"/>
      <c r="F1388" s="84"/>
      <c r="G1388" s="84"/>
      <c r="H1388" s="85"/>
      <c r="I1388" s="86"/>
      <c r="J1388" s="88"/>
    </row>
    <row r="1389" spans="2:10" s="89" customFormat="1">
      <c r="B1389" s="82"/>
      <c r="C1389" s="149"/>
      <c r="D1389" s="84"/>
      <c r="E1389" s="84"/>
      <c r="F1389" s="84"/>
      <c r="G1389" s="84"/>
      <c r="H1389" s="85"/>
      <c r="I1389" s="86"/>
      <c r="J1389" s="88"/>
    </row>
    <row r="1390" spans="2:10" s="89" customFormat="1">
      <c r="B1390" s="82"/>
      <c r="C1390" s="149"/>
      <c r="D1390" s="84"/>
      <c r="E1390" s="84"/>
      <c r="F1390" s="84"/>
      <c r="G1390" s="84"/>
      <c r="H1390" s="85"/>
      <c r="I1390" s="86"/>
      <c r="J1390" s="88"/>
    </row>
    <row r="1391" spans="2:10" s="89" customFormat="1">
      <c r="B1391" s="82"/>
      <c r="C1391" s="149"/>
      <c r="D1391" s="84"/>
      <c r="E1391" s="84"/>
      <c r="F1391" s="84"/>
      <c r="G1391" s="84"/>
      <c r="H1391" s="85"/>
      <c r="I1391" s="86"/>
      <c r="J1391" s="88"/>
    </row>
    <row r="1392" spans="2:10" s="89" customFormat="1">
      <c r="B1392" s="82"/>
      <c r="C1392" s="149"/>
      <c r="D1392" s="84"/>
      <c r="E1392" s="84"/>
      <c r="F1392" s="84"/>
      <c r="G1392" s="84"/>
      <c r="H1392" s="85"/>
      <c r="I1392" s="86"/>
      <c r="J1392" s="88"/>
    </row>
    <row r="1393" spans="2:10" s="89" customFormat="1">
      <c r="B1393" s="82"/>
      <c r="C1393" s="149"/>
      <c r="D1393" s="84"/>
      <c r="E1393" s="84"/>
      <c r="F1393" s="84"/>
      <c r="G1393" s="84"/>
      <c r="H1393" s="85"/>
      <c r="I1393" s="86"/>
      <c r="J1393" s="88"/>
    </row>
    <row r="1394" spans="2:10" s="89" customFormat="1">
      <c r="B1394" s="82"/>
      <c r="C1394" s="149"/>
      <c r="D1394" s="84"/>
      <c r="E1394" s="84"/>
      <c r="F1394" s="84"/>
      <c r="G1394" s="84"/>
      <c r="H1394" s="85"/>
      <c r="I1394" s="86"/>
      <c r="J1394" s="88"/>
    </row>
    <row r="1395" spans="2:10" s="89" customFormat="1">
      <c r="B1395" s="82"/>
      <c r="C1395" s="149"/>
      <c r="D1395" s="84"/>
      <c r="E1395" s="84"/>
      <c r="F1395" s="84"/>
      <c r="G1395" s="84"/>
      <c r="H1395" s="85"/>
      <c r="I1395" s="86"/>
      <c r="J1395" s="88"/>
    </row>
    <row r="1396" spans="2:10" s="89" customFormat="1">
      <c r="B1396" s="82"/>
      <c r="C1396" s="149"/>
      <c r="D1396" s="84"/>
      <c r="E1396" s="84"/>
      <c r="F1396" s="84"/>
      <c r="G1396" s="84"/>
      <c r="H1396" s="85"/>
      <c r="I1396" s="86"/>
      <c r="J1396" s="88"/>
    </row>
    <row r="1397" spans="2:10" s="89" customFormat="1">
      <c r="B1397" s="82"/>
      <c r="C1397" s="149"/>
      <c r="D1397" s="84"/>
      <c r="E1397" s="84"/>
      <c r="F1397" s="84"/>
      <c r="G1397" s="84"/>
      <c r="H1397" s="85"/>
      <c r="I1397" s="86"/>
      <c r="J1397" s="88"/>
    </row>
    <row r="1398" spans="2:10" s="89" customFormat="1">
      <c r="B1398" s="82"/>
      <c r="C1398" s="149"/>
      <c r="D1398" s="84"/>
      <c r="E1398" s="84"/>
      <c r="F1398" s="84"/>
      <c r="G1398" s="84"/>
      <c r="H1398" s="85"/>
      <c r="I1398" s="86"/>
      <c r="J1398" s="88"/>
    </row>
    <row r="1399" spans="2:10" s="89" customFormat="1">
      <c r="B1399" s="82"/>
      <c r="C1399" s="149"/>
      <c r="D1399" s="84"/>
      <c r="E1399" s="84"/>
      <c r="F1399" s="84"/>
      <c r="G1399" s="84"/>
      <c r="H1399" s="85"/>
      <c r="I1399" s="86"/>
      <c r="J1399" s="88"/>
    </row>
    <row r="1400" spans="2:10" s="89" customFormat="1">
      <c r="B1400" s="82"/>
      <c r="C1400" s="149"/>
      <c r="D1400" s="84"/>
      <c r="E1400" s="84"/>
      <c r="F1400" s="84"/>
      <c r="G1400" s="84"/>
      <c r="H1400" s="85"/>
      <c r="I1400" s="86"/>
      <c r="J1400" s="88"/>
    </row>
    <row r="1401" spans="2:10" s="89" customFormat="1">
      <c r="B1401" s="82"/>
      <c r="C1401" s="149"/>
      <c r="D1401" s="84"/>
      <c r="E1401" s="84"/>
      <c r="F1401" s="84"/>
      <c r="G1401" s="84"/>
      <c r="H1401" s="85"/>
      <c r="I1401" s="86"/>
      <c r="J1401" s="88"/>
    </row>
    <row r="1402" spans="2:10" s="89" customFormat="1">
      <c r="B1402" s="82"/>
      <c r="C1402" s="149"/>
      <c r="D1402" s="84"/>
      <c r="E1402" s="84"/>
      <c r="F1402" s="84"/>
      <c r="G1402" s="84"/>
      <c r="H1402" s="85"/>
      <c r="I1402" s="86"/>
      <c r="J1402" s="88"/>
    </row>
    <row r="1403" spans="2:10" s="89" customFormat="1">
      <c r="B1403" s="82"/>
      <c r="C1403" s="149"/>
      <c r="D1403" s="84"/>
      <c r="E1403" s="84"/>
      <c r="F1403" s="84"/>
      <c r="G1403" s="84"/>
      <c r="H1403" s="85"/>
      <c r="I1403" s="86"/>
      <c r="J1403" s="88"/>
    </row>
    <row r="1404" spans="2:10" s="89" customFormat="1">
      <c r="B1404" s="82"/>
      <c r="C1404" s="149"/>
      <c r="D1404" s="84"/>
      <c r="E1404" s="84"/>
      <c r="F1404" s="84"/>
      <c r="G1404" s="84"/>
      <c r="H1404" s="85"/>
      <c r="I1404" s="86"/>
      <c r="J1404" s="88"/>
    </row>
    <row r="1405" spans="2:10" s="89" customFormat="1">
      <c r="B1405" s="82"/>
      <c r="C1405" s="149"/>
      <c r="D1405" s="84"/>
      <c r="E1405" s="84"/>
      <c r="F1405" s="84"/>
      <c r="G1405" s="84"/>
      <c r="H1405" s="85"/>
      <c r="I1405" s="86"/>
      <c r="J1405" s="88"/>
    </row>
    <row r="1406" spans="2:10" s="89" customFormat="1">
      <c r="B1406" s="82"/>
      <c r="C1406" s="149"/>
      <c r="D1406" s="84"/>
      <c r="E1406" s="84"/>
      <c r="F1406" s="84"/>
      <c r="G1406" s="84"/>
      <c r="H1406" s="85"/>
      <c r="I1406" s="86"/>
      <c r="J1406" s="88"/>
    </row>
    <row r="1407" spans="2:10" s="89" customFormat="1">
      <c r="B1407" s="82"/>
      <c r="C1407" s="149"/>
      <c r="D1407" s="84"/>
      <c r="E1407" s="84"/>
      <c r="F1407" s="84"/>
      <c r="G1407" s="84"/>
      <c r="H1407" s="85"/>
      <c r="I1407" s="86"/>
      <c r="J1407" s="88"/>
    </row>
    <row r="1408" spans="2:10" s="89" customFormat="1">
      <c r="B1408" s="82"/>
      <c r="C1408" s="149"/>
      <c r="D1408" s="84"/>
      <c r="E1408" s="84"/>
      <c r="F1408" s="84"/>
      <c r="G1408" s="84"/>
      <c r="H1408" s="85"/>
      <c r="I1408" s="86"/>
      <c r="J1408" s="88"/>
    </row>
    <row r="1409" spans="2:10" s="89" customFormat="1">
      <c r="B1409" s="82"/>
      <c r="C1409" s="149"/>
      <c r="D1409" s="84"/>
      <c r="E1409" s="84"/>
      <c r="F1409" s="84"/>
      <c r="G1409" s="84"/>
      <c r="H1409" s="85"/>
      <c r="I1409" s="86"/>
      <c r="J1409" s="88"/>
    </row>
    <row r="1410" spans="2:10" s="89" customFormat="1">
      <c r="B1410" s="82"/>
      <c r="C1410" s="149"/>
      <c r="D1410" s="84"/>
      <c r="E1410" s="84"/>
      <c r="F1410" s="84"/>
      <c r="G1410" s="84"/>
      <c r="H1410" s="85"/>
      <c r="I1410" s="86"/>
      <c r="J1410" s="88"/>
    </row>
    <row r="1411" spans="2:10" s="89" customFormat="1">
      <c r="B1411" s="82"/>
      <c r="C1411" s="149"/>
      <c r="D1411" s="84"/>
      <c r="E1411" s="84"/>
      <c r="F1411" s="84"/>
      <c r="G1411" s="84"/>
      <c r="H1411" s="85"/>
      <c r="I1411" s="86"/>
      <c r="J1411" s="88"/>
    </row>
    <row r="1412" spans="2:10" s="89" customFormat="1">
      <c r="B1412" s="82"/>
      <c r="C1412" s="149"/>
      <c r="D1412" s="84"/>
      <c r="E1412" s="84"/>
      <c r="F1412" s="84"/>
      <c r="G1412" s="84"/>
      <c r="H1412" s="85"/>
      <c r="I1412" s="86"/>
      <c r="J1412" s="88"/>
    </row>
    <row r="1413" spans="2:10" s="89" customFormat="1">
      <c r="B1413" s="82"/>
      <c r="C1413" s="149"/>
      <c r="D1413" s="84"/>
      <c r="E1413" s="84"/>
      <c r="F1413" s="84"/>
      <c r="G1413" s="84"/>
      <c r="H1413" s="85"/>
      <c r="I1413" s="86"/>
      <c r="J1413" s="88"/>
    </row>
    <row r="1414" spans="2:10" s="89" customFormat="1">
      <c r="B1414" s="82"/>
      <c r="C1414" s="149"/>
      <c r="D1414" s="84"/>
      <c r="E1414" s="84"/>
      <c r="F1414" s="84"/>
      <c r="G1414" s="84"/>
      <c r="H1414" s="85"/>
      <c r="I1414" s="86"/>
      <c r="J1414" s="88"/>
    </row>
    <row r="1415" spans="2:10" s="89" customFormat="1">
      <c r="B1415" s="82"/>
      <c r="C1415" s="149"/>
      <c r="D1415" s="84"/>
      <c r="E1415" s="84"/>
      <c r="F1415" s="84"/>
      <c r="G1415" s="84"/>
      <c r="H1415" s="85"/>
      <c r="I1415" s="86"/>
      <c r="J1415" s="88"/>
    </row>
    <row r="1416" spans="2:10" s="89" customFormat="1">
      <c r="B1416" s="82"/>
      <c r="C1416" s="149"/>
      <c r="D1416" s="84"/>
      <c r="E1416" s="84"/>
      <c r="F1416" s="84"/>
      <c r="G1416" s="84"/>
      <c r="H1416" s="85"/>
      <c r="I1416" s="86"/>
      <c r="J1416" s="88"/>
    </row>
    <row r="1417" spans="2:10" s="89" customFormat="1">
      <c r="B1417" s="82"/>
      <c r="C1417" s="149"/>
      <c r="D1417" s="84"/>
      <c r="E1417" s="84"/>
      <c r="F1417" s="84"/>
      <c r="G1417" s="84"/>
      <c r="H1417" s="85"/>
      <c r="I1417" s="86"/>
      <c r="J1417" s="88"/>
    </row>
    <row r="1418" spans="2:10" s="89" customFormat="1">
      <c r="B1418" s="82"/>
      <c r="C1418" s="149"/>
      <c r="D1418" s="84"/>
      <c r="E1418" s="84"/>
      <c r="F1418" s="84"/>
      <c r="G1418" s="84"/>
      <c r="H1418" s="85"/>
      <c r="I1418" s="86"/>
      <c r="J1418" s="88"/>
    </row>
    <row r="1419" spans="2:10" s="89" customFormat="1">
      <c r="B1419" s="82"/>
      <c r="C1419" s="149"/>
      <c r="D1419" s="84"/>
      <c r="E1419" s="84"/>
      <c r="F1419" s="84"/>
      <c r="G1419" s="84"/>
      <c r="H1419" s="85"/>
      <c r="I1419" s="86"/>
      <c r="J1419" s="88"/>
    </row>
    <row r="1420" spans="2:10" s="89" customFormat="1">
      <c r="B1420" s="82"/>
      <c r="C1420" s="149"/>
      <c r="D1420" s="84"/>
      <c r="E1420" s="84"/>
      <c r="F1420" s="84"/>
      <c r="G1420" s="84"/>
      <c r="H1420" s="85"/>
      <c r="I1420" s="86"/>
      <c r="J1420" s="88"/>
    </row>
    <row r="1421" spans="2:10" s="89" customFormat="1">
      <c r="B1421" s="82"/>
      <c r="C1421" s="149"/>
      <c r="D1421" s="84"/>
      <c r="E1421" s="84"/>
      <c r="F1421" s="84"/>
      <c r="G1421" s="84"/>
      <c r="H1421" s="85"/>
      <c r="I1421" s="86"/>
      <c r="J1421" s="88"/>
    </row>
    <row r="1422" spans="2:10" s="89" customFormat="1">
      <c r="B1422" s="82"/>
      <c r="C1422" s="149"/>
      <c r="D1422" s="84"/>
      <c r="E1422" s="84"/>
      <c r="F1422" s="84"/>
      <c r="G1422" s="84"/>
      <c r="H1422" s="85"/>
      <c r="I1422" s="86"/>
      <c r="J1422" s="88"/>
    </row>
    <row r="1423" spans="2:10" s="89" customFormat="1">
      <c r="B1423" s="82"/>
      <c r="C1423" s="149"/>
      <c r="D1423" s="84"/>
      <c r="E1423" s="84"/>
      <c r="F1423" s="84"/>
      <c r="G1423" s="84"/>
      <c r="H1423" s="85"/>
      <c r="I1423" s="86"/>
      <c r="J1423" s="88"/>
    </row>
    <row r="1424" spans="2:10" s="89" customFormat="1">
      <c r="B1424" s="82"/>
      <c r="C1424" s="149"/>
      <c r="D1424" s="84"/>
      <c r="E1424" s="84"/>
      <c r="F1424" s="84"/>
      <c r="G1424" s="84"/>
      <c r="H1424" s="85"/>
      <c r="I1424" s="86"/>
      <c r="J1424" s="88"/>
    </row>
    <row r="1425" spans="2:10" s="89" customFormat="1">
      <c r="B1425" s="82"/>
      <c r="C1425" s="149"/>
      <c r="D1425" s="84"/>
      <c r="E1425" s="84"/>
      <c r="F1425" s="84"/>
      <c r="G1425" s="84"/>
      <c r="H1425" s="85"/>
      <c r="I1425" s="86"/>
      <c r="J1425" s="88"/>
    </row>
    <row r="1426" spans="2:10" s="89" customFormat="1">
      <c r="B1426" s="82"/>
      <c r="C1426" s="149"/>
      <c r="D1426" s="84"/>
      <c r="E1426" s="84"/>
      <c r="F1426" s="84"/>
      <c r="G1426" s="84"/>
      <c r="H1426" s="85"/>
      <c r="I1426" s="86"/>
      <c r="J1426" s="88"/>
    </row>
    <row r="1427" spans="2:10" s="89" customFormat="1">
      <c r="B1427" s="82"/>
      <c r="C1427" s="149"/>
      <c r="D1427" s="84"/>
      <c r="E1427" s="84"/>
      <c r="F1427" s="84"/>
      <c r="G1427" s="84"/>
      <c r="H1427" s="85"/>
      <c r="I1427" s="86"/>
      <c r="J1427" s="88"/>
    </row>
    <row r="1428" spans="2:10" s="89" customFormat="1">
      <c r="B1428" s="82"/>
      <c r="C1428" s="149"/>
      <c r="D1428" s="84"/>
      <c r="E1428" s="84"/>
      <c r="F1428" s="84"/>
      <c r="G1428" s="84"/>
      <c r="H1428" s="85"/>
      <c r="I1428" s="86"/>
      <c r="J1428" s="88"/>
    </row>
    <row r="1429" spans="2:10" s="89" customFormat="1">
      <c r="B1429" s="82"/>
      <c r="C1429" s="149"/>
      <c r="D1429" s="84"/>
      <c r="E1429" s="84"/>
      <c r="F1429" s="84"/>
      <c r="G1429" s="84"/>
      <c r="H1429" s="85"/>
      <c r="I1429" s="86"/>
      <c r="J1429" s="88"/>
    </row>
    <row r="1430" spans="2:10" s="89" customFormat="1">
      <c r="B1430" s="82"/>
      <c r="C1430" s="149"/>
      <c r="D1430" s="84"/>
      <c r="E1430" s="84"/>
      <c r="F1430" s="84"/>
      <c r="G1430" s="84"/>
      <c r="H1430" s="85"/>
      <c r="I1430" s="86"/>
      <c r="J1430" s="88"/>
    </row>
    <row r="1431" spans="2:10" s="89" customFormat="1">
      <c r="B1431" s="82"/>
      <c r="C1431" s="149"/>
      <c r="D1431" s="84"/>
      <c r="E1431" s="84"/>
      <c r="F1431" s="84"/>
      <c r="G1431" s="84"/>
      <c r="H1431" s="85"/>
      <c r="I1431" s="86"/>
      <c r="J1431" s="88"/>
    </row>
    <row r="1432" spans="2:10" s="89" customFormat="1">
      <c r="B1432" s="82"/>
      <c r="C1432" s="149"/>
      <c r="D1432" s="84"/>
      <c r="E1432" s="84"/>
      <c r="F1432" s="84"/>
      <c r="G1432" s="84"/>
      <c r="H1432" s="85"/>
      <c r="I1432" s="86"/>
      <c r="J1432" s="88"/>
    </row>
    <row r="1433" spans="2:10" s="89" customFormat="1">
      <c r="B1433" s="82"/>
      <c r="C1433" s="149"/>
      <c r="D1433" s="84"/>
      <c r="E1433" s="84"/>
      <c r="F1433" s="84"/>
      <c r="G1433" s="84"/>
      <c r="H1433" s="85"/>
      <c r="I1433" s="86"/>
      <c r="J1433" s="88"/>
    </row>
    <row r="1434" spans="2:10" s="89" customFormat="1">
      <c r="B1434" s="82"/>
      <c r="C1434" s="149"/>
      <c r="D1434" s="84"/>
      <c r="E1434" s="84"/>
      <c r="F1434" s="84"/>
      <c r="G1434" s="84"/>
      <c r="H1434" s="85"/>
      <c r="I1434" s="86"/>
      <c r="J1434" s="88"/>
    </row>
    <row r="1435" spans="2:10" s="89" customFormat="1">
      <c r="B1435" s="82"/>
      <c r="C1435" s="149"/>
      <c r="D1435" s="84"/>
      <c r="E1435" s="84"/>
      <c r="F1435" s="84"/>
      <c r="G1435" s="84"/>
      <c r="H1435" s="85"/>
      <c r="I1435" s="86"/>
      <c r="J1435" s="88"/>
    </row>
    <row r="1436" spans="2:10" s="89" customFormat="1">
      <c r="B1436" s="82"/>
      <c r="C1436" s="149"/>
      <c r="D1436" s="84"/>
      <c r="E1436" s="84"/>
      <c r="F1436" s="84"/>
      <c r="G1436" s="84"/>
      <c r="H1436" s="85"/>
      <c r="I1436" s="86"/>
      <c r="J1436" s="88"/>
    </row>
    <row r="1437" spans="2:10" s="89" customFormat="1">
      <c r="B1437" s="82"/>
      <c r="C1437" s="149"/>
      <c r="D1437" s="84"/>
      <c r="E1437" s="84"/>
      <c r="F1437" s="84"/>
      <c r="G1437" s="84"/>
      <c r="H1437" s="85"/>
      <c r="I1437" s="86"/>
      <c r="J1437" s="88"/>
    </row>
    <row r="1438" spans="2:10" s="89" customFormat="1">
      <c r="B1438" s="82"/>
      <c r="C1438" s="149"/>
      <c r="D1438" s="84"/>
      <c r="E1438" s="84"/>
      <c r="F1438" s="84"/>
      <c r="G1438" s="84"/>
      <c r="H1438" s="85"/>
      <c r="I1438" s="86"/>
      <c r="J1438" s="88"/>
    </row>
    <row r="1439" spans="2:10" s="89" customFormat="1">
      <c r="B1439" s="82"/>
      <c r="C1439" s="149"/>
      <c r="D1439" s="84"/>
      <c r="E1439" s="84"/>
      <c r="F1439" s="84"/>
      <c r="G1439" s="84"/>
      <c r="H1439" s="85"/>
      <c r="I1439" s="86"/>
      <c r="J1439" s="88"/>
    </row>
    <row r="1440" spans="2:10" s="89" customFormat="1">
      <c r="B1440" s="82"/>
      <c r="C1440" s="149"/>
      <c r="D1440" s="84"/>
      <c r="E1440" s="84"/>
      <c r="F1440" s="84"/>
      <c r="G1440" s="84"/>
      <c r="H1440" s="85"/>
      <c r="I1440" s="86"/>
      <c r="J1440" s="88"/>
    </row>
    <row r="1441" spans="2:10" s="89" customFormat="1">
      <c r="B1441" s="82"/>
      <c r="C1441" s="149"/>
      <c r="D1441" s="84"/>
      <c r="E1441" s="84"/>
      <c r="F1441" s="84"/>
      <c r="G1441" s="84"/>
      <c r="H1441" s="85"/>
      <c r="I1441" s="86"/>
      <c r="J1441" s="88"/>
    </row>
    <row r="1442" spans="2:10" s="89" customFormat="1">
      <c r="B1442" s="82"/>
      <c r="C1442" s="149"/>
      <c r="D1442" s="84"/>
      <c r="E1442" s="84"/>
      <c r="F1442" s="84"/>
      <c r="G1442" s="84"/>
      <c r="H1442" s="85"/>
      <c r="I1442" s="86"/>
      <c r="J1442" s="88"/>
    </row>
    <row r="1443" spans="2:10" s="89" customFormat="1">
      <c r="B1443" s="82"/>
      <c r="C1443" s="149"/>
      <c r="D1443" s="84"/>
      <c r="E1443" s="84"/>
      <c r="F1443" s="84"/>
      <c r="G1443" s="84"/>
      <c r="H1443" s="85"/>
      <c r="I1443" s="86"/>
      <c r="J1443" s="88"/>
    </row>
    <row r="1444" spans="2:10" s="89" customFormat="1">
      <c r="B1444" s="82"/>
      <c r="C1444" s="149"/>
      <c r="D1444" s="84"/>
      <c r="E1444" s="84"/>
      <c r="F1444" s="84"/>
      <c r="G1444" s="84"/>
      <c r="H1444" s="85"/>
      <c r="I1444" s="86"/>
      <c r="J1444" s="88"/>
    </row>
    <row r="1445" spans="2:10" s="89" customFormat="1">
      <c r="B1445" s="82"/>
      <c r="C1445" s="149"/>
      <c r="D1445" s="84"/>
      <c r="E1445" s="84"/>
      <c r="F1445" s="84"/>
      <c r="G1445" s="84"/>
      <c r="H1445" s="85"/>
      <c r="I1445" s="86"/>
      <c r="J1445" s="88"/>
    </row>
    <row r="1446" spans="2:10" s="89" customFormat="1">
      <c r="B1446" s="82"/>
      <c r="C1446" s="149"/>
      <c r="D1446" s="84"/>
      <c r="E1446" s="84"/>
      <c r="F1446" s="84"/>
      <c r="G1446" s="84"/>
      <c r="H1446" s="85"/>
      <c r="I1446" s="86"/>
      <c r="J1446" s="88"/>
    </row>
    <row r="1447" spans="2:10" s="89" customFormat="1">
      <c r="B1447" s="82"/>
      <c r="C1447" s="149"/>
      <c r="D1447" s="84"/>
      <c r="E1447" s="84"/>
      <c r="F1447" s="84"/>
      <c r="G1447" s="84"/>
      <c r="H1447" s="85"/>
      <c r="I1447" s="86"/>
      <c r="J1447" s="88"/>
    </row>
    <row r="1448" spans="2:10" s="89" customFormat="1">
      <c r="B1448" s="82"/>
      <c r="C1448" s="149"/>
      <c r="D1448" s="84"/>
      <c r="E1448" s="84"/>
      <c r="F1448" s="84"/>
      <c r="G1448" s="84"/>
      <c r="H1448" s="85"/>
      <c r="I1448" s="86"/>
      <c r="J1448" s="88"/>
    </row>
    <row r="1449" spans="2:10" s="89" customFormat="1">
      <c r="B1449" s="82"/>
      <c r="C1449" s="149"/>
      <c r="D1449" s="84"/>
      <c r="E1449" s="84"/>
      <c r="F1449" s="84"/>
      <c r="G1449" s="84"/>
      <c r="H1449" s="85"/>
      <c r="I1449" s="86"/>
      <c r="J1449" s="88"/>
    </row>
    <row r="1450" spans="2:10" s="89" customFormat="1">
      <c r="B1450" s="82"/>
      <c r="C1450" s="149"/>
      <c r="D1450" s="84"/>
      <c r="E1450" s="84"/>
      <c r="F1450" s="84"/>
      <c r="G1450" s="84"/>
      <c r="H1450" s="85"/>
      <c r="I1450" s="86"/>
      <c r="J1450" s="88"/>
    </row>
    <row r="1451" spans="2:10" s="89" customFormat="1">
      <c r="B1451" s="82"/>
      <c r="C1451" s="149"/>
      <c r="D1451" s="84"/>
      <c r="E1451" s="84"/>
      <c r="F1451" s="84"/>
      <c r="G1451" s="84"/>
      <c r="H1451" s="85"/>
      <c r="I1451" s="86"/>
      <c r="J1451" s="88"/>
    </row>
    <row r="1452" spans="2:10" s="89" customFormat="1">
      <c r="B1452" s="82"/>
      <c r="C1452" s="149"/>
      <c r="D1452" s="84"/>
      <c r="E1452" s="84"/>
      <c r="F1452" s="84"/>
      <c r="G1452" s="84"/>
      <c r="H1452" s="85"/>
      <c r="I1452" s="86"/>
      <c r="J1452" s="88"/>
    </row>
    <row r="1453" spans="2:10" s="89" customFormat="1">
      <c r="B1453" s="82"/>
      <c r="C1453" s="149"/>
      <c r="D1453" s="84"/>
      <c r="E1453" s="84"/>
      <c r="F1453" s="84"/>
      <c r="G1453" s="84"/>
      <c r="H1453" s="85"/>
      <c r="I1453" s="86"/>
      <c r="J1453" s="88"/>
    </row>
    <row r="1454" spans="2:10" s="89" customFormat="1">
      <c r="B1454" s="82"/>
      <c r="C1454" s="149"/>
      <c r="D1454" s="84"/>
      <c r="E1454" s="84"/>
      <c r="F1454" s="84"/>
      <c r="G1454" s="84"/>
      <c r="H1454" s="85"/>
      <c r="I1454" s="86"/>
      <c r="J1454" s="88"/>
    </row>
    <row r="1455" spans="2:10" s="89" customFormat="1">
      <c r="B1455" s="82"/>
      <c r="C1455" s="149"/>
      <c r="D1455" s="84"/>
      <c r="E1455" s="84"/>
      <c r="F1455" s="84"/>
      <c r="G1455" s="84"/>
      <c r="H1455" s="85"/>
      <c r="I1455" s="86"/>
      <c r="J1455" s="88"/>
    </row>
    <row r="1456" spans="2:10" s="89" customFormat="1">
      <c r="B1456" s="82"/>
      <c r="C1456" s="149"/>
      <c r="D1456" s="84"/>
      <c r="E1456" s="84"/>
      <c r="F1456" s="84"/>
      <c r="G1456" s="84"/>
      <c r="H1456" s="85"/>
      <c r="I1456" s="86"/>
      <c r="J1456" s="88"/>
    </row>
    <row r="1457" spans="2:10" s="89" customFormat="1">
      <c r="B1457" s="82"/>
      <c r="C1457" s="149"/>
      <c r="D1457" s="84"/>
      <c r="E1457" s="84"/>
      <c r="F1457" s="84"/>
      <c r="G1457" s="84"/>
      <c r="H1457" s="85"/>
      <c r="I1457" s="86"/>
      <c r="J1457" s="88"/>
    </row>
    <row r="1458" spans="2:10" s="89" customFormat="1">
      <c r="B1458" s="82"/>
      <c r="C1458" s="149"/>
      <c r="D1458" s="84"/>
      <c r="E1458" s="84"/>
      <c r="F1458" s="84"/>
      <c r="G1458" s="84"/>
      <c r="H1458" s="85"/>
      <c r="I1458" s="86"/>
      <c r="J1458" s="88"/>
    </row>
    <row r="1459" spans="2:10" s="89" customFormat="1">
      <c r="B1459" s="82"/>
      <c r="C1459" s="149"/>
      <c r="D1459" s="84"/>
      <c r="E1459" s="84"/>
      <c r="F1459" s="84"/>
      <c r="G1459" s="84"/>
      <c r="H1459" s="85"/>
      <c r="I1459" s="86"/>
      <c r="J1459" s="88"/>
    </row>
    <row r="1460" spans="2:10" s="89" customFormat="1">
      <c r="B1460" s="82"/>
      <c r="C1460" s="149"/>
      <c r="D1460" s="84"/>
      <c r="E1460" s="84"/>
      <c r="F1460" s="84"/>
      <c r="G1460" s="84"/>
      <c r="H1460" s="85"/>
      <c r="I1460" s="86"/>
      <c r="J1460" s="88"/>
    </row>
    <row r="1461" spans="2:10" s="89" customFormat="1">
      <c r="B1461" s="82"/>
      <c r="C1461" s="149"/>
      <c r="D1461" s="84"/>
      <c r="E1461" s="84"/>
      <c r="F1461" s="84"/>
      <c r="G1461" s="84"/>
      <c r="H1461" s="85"/>
      <c r="I1461" s="86"/>
      <c r="J1461" s="88"/>
    </row>
    <row r="1462" spans="2:10" s="89" customFormat="1">
      <c r="B1462" s="82"/>
      <c r="C1462" s="149"/>
      <c r="D1462" s="84"/>
      <c r="E1462" s="84"/>
      <c r="F1462" s="84"/>
      <c r="G1462" s="84"/>
      <c r="H1462" s="85"/>
      <c r="I1462" s="86"/>
      <c r="J1462" s="88"/>
    </row>
    <row r="1463" spans="2:10" s="89" customFormat="1">
      <c r="B1463" s="82"/>
      <c r="C1463" s="149"/>
      <c r="D1463" s="84"/>
      <c r="E1463" s="84"/>
      <c r="F1463" s="84"/>
      <c r="G1463" s="84"/>
      <c r="H1463" s="85"/>
      <c r="I1463" s="86"/>
      <c r="J1463" s="88"/>
    </row>
    <row r="1464" spans="2:10" s="89" customFormat="1">
      <c r="B1464" s="82"/>
      <c r="C1464" s="149"/>
      <c r="D1464" s="84"/>
      <c r="E1464" s="84"/>
      <c r="F1464" s="84"/>
      <c r="G1464" s="84"/>
      <c r="H1464" s="85"/>
      <c r="I1464" s="86"/>
      <c r="J1464" s="88"/>
    </row>
    <row r="1465" spans="2:10" s="89" customFormat="1">
      <c r="B1465" s="82"/>
      <c r="C1465" s="149"/>
      <c r="D1465" s="84"/>
      <c r="E1465" s="84"/>
      <c r="F1465" s="84"/>
      <c r="G1465" s="84"/>
      <c r="H1465" s="85"/>
      <c r="I1465" s="86"/>
      <c r="J1465" s="88"/>
    </row>
    <row r="1466" spans="2:10" s="89" customFormat="1">
      <c r="B1466" s="82"/>
      <c r="C1466" s="149"/>
      <c r="D1466" s="84"/>
      <c r="E1466" s="84"/>
      <c r="F1466" s="84"/>
      <c r="G1466" s="84"/>
      <c r="H1466" s="85"/>
      <c r="I1466" s="86"/>
      <c r="J1466" s="88"/>
    </row>
    <row r="1467" spans="2:10" s="89" customFormat="1">
      <c r="B1467" s="82"/>
      <c r="C1467" s="149"/>
      <c r="D1467" s="84"/>
      <c r="E1467" s="84"/>
      <c r="F1467" s="84"/>
      <c r="G1467" s="84"/>
      <c r="H1467" s="85"/>
      <c r="I1467" s="86"/>
      <c r="J1467" s="88"/>
    </row>
    <row r="1468" spans="2:10" s="89" customFormat="1">
      <c r="B1468" s="82"/>
      <c r="C1468" s="149"/>
      <c r="D1468" s="84"/>
      <c r="E1468" s="84"/>
      <c r="F1468" s="84"/>
      <c r="G1468" s="84"/>
      <c r="H1468" s="85"/>
      <c r="I1468" s="86"/>
      <c r="J1468" s="88"/>
    </row>
    <row r="1469" spans="2:10" s="89" customFormat="1">
      <c r="B1469" s="82"/>
      <c r="C1469" s="149"/>
      <c r="D1469" s="84"/>
      <c r="E1469" s="84"/>
      <c r="F1469" s="84"/>
      <c r="G1469" s="84"/>
      <c r="H1469" s="85"/>
      <c r="I1469" s="86"/>
      <c r="J1469" s="88"/>
    </row>
    <row r="1470" spans="2:10" s="89" customFormat="1">
      <c r="B1470" s="82"/>
      <c r="C1470" s="149"/>
      <c r="D1470" s="84"/>
      <c r="E1470" s="84"/>
      <c r="F1470" s="84"/>
      <c r="G1470" s="84"/>
      <c r="H1470" s="85"/>
      <c r="I1470" s="86"/>
      <c r="J1470" s="88"/>
    </row>
    <row r="1471" spans="2:10" s="89" customFormat="1">
      <c r="B1471" s="82"/>
      <c r="C1471" s="149"/>
      <c r="D1471" s="84"/>
      <c r="E1471" s="84"/>
      <c r="F1471" s="84"/>
      <c r="G1471" s="84"/>
      <c r="H1471" s="85"/>
      <c r="I1471" s="86"/>
      <c r="J1471" s="88"/>
    </row>
    <row r="1472" spans="2:10" s="89" customFormat="1">
      <c r="B1472" s="82"/>
      <c r="C1472" s="149"/>
      <c r="D1472" s="84"/>
      <c r="E1472" s="84"/>
      <c r="F1472" s="84"/>
      <c r="G1472" s="84"/>
      <c r="H1472" s="85"/>
      <c r="I1472" s="86"/>
      <c r="J1472" s="88"/>
    </row>
    <row r="1473" spans="2:10" s="89" customFormat="1">
      <c r="B1473" s="82"/>
      <c r="C1473" s="149"/>
      <c r="D1473" s="84"/>
      <c r="E1473" s="84"/>
      <c r="F1473" s="84"/>
      <c r="G1473" s="84"/>
      <c r="H1473" s="85"/>
      <c r="I1473" s="86"/>
      <c r="J1473" s="88"/>
    </row>
    <row r="1474" spans="2:10" s="89" customFormat="1">
      <c r="B1474" s="82"/>
      <c r="C1474" s="149"/>
      <c r="D1474" s="84"/>
      <c r="E1474" s="84"/>
      <c r="F1474" s="84"/>
      <c r="G1474" s="84"/>
      <c r="H1474" s="85"/>
      <c r="I1474" s="86"/>
      <c r="J1474" s="88"/>
    </row>
    <row r="1475" spans="2:10" s="89" customFormat="1">
      <c r="B1475" s="82"/>
      <c r="C1475" s="149"/>
      <c r="D1475" s="84"/>
      <c r="E1475" s="84"/>
      <c r="F1475" s="84"/>
      <c r="G1475" s="84"/>
      <c r="H1475" s="85"/>
      <c r="I1475" s="86"/>
      <c r="J1475" s="88"/>
    </row>
    <row r="1476" spans="2:10" s="89" customFormat="1">
      <c r="B1476" s="82"/>
      <c r="C1476" s="149"/>
      <c r="D1476" s="84"/>
      <c r="E1476" s="84"/>
      <c r="F1476" s="84"/>
      <c r="G1476" s="84"/>
      <c r="H1476" s="85"/>
      <c r="I1476" s="86"/>
      <c r="J1476" s="88"/>
    </row>
    <row r="1477" spans="2:10" s="89" customFormat="1">
      <c r="B1477" s="82"/>
      <c r="C1477" s="149"/>
      <c r="D1477" s="84"/>
      <c r="E1477" s="84"/>
      <c r="F1477" s="84"/>
      <c r="G1477" s="84"/>
      <c r="H1477" s="85"/>
      <c r="I1477" s="86"/>
      <c r="J1477" s="88"/>
    </row>
    <row r="1478" spans="2:10" s="89" customFormat="1">
      <c r="B1478" s="82"/>
      <c r="C1478" s="149"/>
      <c r="D1478" s="84"/>
      <c r="E1478" s="84"/>
      <c r="F1478" s="84"/>
      <c r="G1478" s="84"/>
      <c r="H1478" s="85"/>
      <c r="I1478" s="86"/>
      <c r="J1478" s="88"/>
    </row>
    <row r="1479" spans="2:10" s="89" customFormat="1">
      <c r="B1479" s="82"/>
      <c r="C1479" s="149"/>
      <c r="D1479" s="84"/>
      <c r="E1479" s="84"/>
      <c r="F1479" s="84"/>
      <c r="G1479" s="84"/>
      <c r="H1479" s="85"/>
      <c r="I1479" s="86"/>
      <c r="J1479" s="88"/>
    </row>
    <row r="1480" spans="2:10" s="89" customFormat="1">
      <c r="B1480" s="82"/>
      <c r="C1480" s="149"/>
      <c r="D1480" s="84"/>
      <c r="E1480" s="84"/>
      <c r="F1480" s="84"/>
      <c r="G1480" s="84"/>
      <c r="H1480" s="85"/>
      <c r="I1480" s="86"/>
      <c r="J1480" s="88"/>
    </row>
    <row r="1481" spans="2:10" s="89" customFormat="1">
      <c r="B1481" s="82"/>
      <c r="C1481" s="149"/>
      <c r="D1481" s="84"/>
      <c r="E1481" s="84"/>
      <c r="F1481" s="84"/>
      <c r="G1481" s="84"/>
      <c r="H1481" s="85"/>
      <c r="I1481" s="86"/>
      <c r="J1481" s="88"/>
    </row>
    <row r="1482" spans="2:10" s="89" customFormat="1">
      <c r="B1482" s="82"/>
      <c r="C1482" s="149"/>
      <c r="D1482" s="84"/>
      <c r="E1482" s="84"/>
      <c r="F1482" s="84"/>
      <c r="G1482" s="84"/>
      <c r="H1482" s="85"/>
      <c r="I1482" s="86"/>
      <c r="J1482" s="88"/>
    </row>
    <row r="1483" spans="2:10" s="89" customFormat="1">
      <c r="B1483" s="82"/>
      <c r="C1483" s="149"/>
      <c r="D1483" s="84"/>
      <c r="E1483" s="84"/>
      <c r="F1483" s="84"/>
      <c r="G1483" s="84"/>
      <c r="H1483" s="85"/>
      <c r="I1483" s="86"/>
      <c r="J1483" s="88"/>
    </row>
    <row r="1484" spans="2:10" s="89" customFormat="1">
      <c r="B1484" s="82"/>
      <c r="C1484" s="149"/>
      <c r="D1484" s="84"/>
      <c r="E1484" s="84"/>
      <c r="F1484" s="84"/>
      <c r="G1484" s="84"/>
      <c r="H1484" s="85"/>
      <c r="I1484" s="86"/>
      <c r="J1484" s="88"/>
    </row>
    <row r="1485" spans="2:10" s="89" customFormat="1">
      <c r="B1485" s="82"/>
      <c r="C1485" s="149"/>
      <c r="D1485" s="84"/>
      <c r="E1485" s="84"/>
      <c r="F1485" s="84"/>
      <c r="G1485" s="84"/>
      <c r="H1485" s="85"/>
      <c r="I1485" s="86"/>
      <c r="J1485" s="88"/>
    </row>
    <row r="1486" spans="2:10" s="89" customFormat="1">
      <c r="B1486" s="82"/>
      <c r="C1486" s="149"/>
      <c r="D1486" s="84"/>
      <c r="E1486" s="84"/>
      <c r="F1486" s="84"/>
      <c r="G1486" s="84"/>
      <c r="H1486" s="85"/>
      <c r="I1486" s="86"/>
      <c r="J1486" s="88"/>
    </row>
    <row r="1487" spans="2:10" s="89" customFormat="1">
      <c r="B1487" s="82"/>
      <c r="C1487" s="149"/>
      <c r="D1487" s="84"/>
      <c r="E1487" s="84"/>
      <c r="F1487" s="84"/>
      <c r="G1487" s="84"/>
      <c r="H1487" s="85"/>
      <c r="I1487" s="86"/>
      <c r="J1487" s="88"/>
    </row>
    <row r="1488" spans="2:10" s="89" customFormat="1">
      <c r="B1488" s="82"/>
      <c r="C1488" s="149"/>
      <c r="D1488" s="84"/>
      <c r="E1488" s="84"/>
      <c r="F1488" s="84"/>
      <c r="G1488" s="84"/>
      <c r="H1488" s="85"/>
      <c r="I1488" s="86"/>
      <c r="J1488" s="88"/>
    </row>
    <row r="1489" spans="2:10" s="89" customFormat="1">
      <c r="B1489" s="82"/>
      <c r="C1489" s="149"/>
      <c r="D1489" s="84"/>
      <c r="E1489" s="84"/>
      <c r="F1489" s="84"/>
      <c r="G1489" s="84"/>
      <c r="H1489" s="85"/>
      <c r="I1489" s="86"/>
      <c r="J1489" s="88"/>
    </row>
    <row r="1490" spans="2:10" s="89" customFormat="1">
      <c r="B1490" s="82"/>
      <c r="C1490" s="149"/>
      <c r="D1490" s="84"/>
      <c r="E1490" s="84"/>
      <c r="F1490" s="84"/>
      <c r="G1490" s="84"/>
      <c r="H1490" s="85"/>
      <c r="I1490" s="86"/>
      <c r="J1490" s="88"/>
    </row>
    <row r="1491" spans="2:10" s="89" customFormat="1">
      <c r="B1491" s="82"/>
      <c r="C1491" s="149"/>
      <c r="D1491" s="84"/>
      <c r="E1491" s="84"/>
      <c r="F1491" s="84"/>
      <c r="G1491" s="84"/>
      <c r="H1491" s="85"/>
      <c r="I1491" s="86"/>
      <c r="J1491" s="88"/>
    </row>
    <row r="1492" spans="2:10" s="89" customFormat="1">
      <c r="B1492" s="82"/>
      <c r="C1492" s="149"/>
      <c r="D1492" s="84"/>
      <c r="E1492" s="84"/>
      <c r="F1492" s="84"/>
      <c r="G1492" s="84"/>
      <c r="H1492" s="85"/>
      <c r="I1492" s="86"/>
      <c r="J1492" s="88"/>
    </row>
    <row r="1493" spans="2:10" s="89" customFormat="1">
      <c r="B1493" s="82"/>
      <c r="C1493" s="149"/>
      <c r="D1493" s="84"/>
      <c r="E1493" s="84"/>
      <c r="F1493" s="84"/>
      <c r="G1493" s="84"/>
      <c r="H1493" s="85"/>
      <c r="I1493" s="86"/>
      <c r="J1493" s="88"/>
    </row>
    <row r="1494" spans="2:10" s="89" customFormat="1">
      <c r="B1494" s="82"/>
      <c r="C1494" s="149"/>
      <c r="D1494" s="84"/>
      <c r="E1494" s="84"/>
      <c r="F1494" s="84"/>
      <c r="G1494" s="84"/>
      <c r="H1494" s="85"/>
      <c r="I1494" s="86"/>
      <c r="J1494" s="88"/>
    </row>
    <row r="1495" spans="2:10" s="89" customFormat="1">
      <c r="B1495" s="82"/>
      <c r="C1495" s="149"/>
      <c r="D1495" s="84"/>
      <c r="E1495" s="84"/>
      <c r="F1495" s="84"/>
      <c r="G1495" s="84"/>
      <c r="H1495" s="85"/>
      <c r="I1495" s="86"/>
      <c r="J1495" s="88"/>
    </row>
    <row r="1496" spans="2:10" s="89" customFormat="1">
      <c r="B1496" s="82"/>
      <c r="C1496" s="149"/>
      <c r="D1496" s="84"/>
      <c r="E1496" s="84"/>
      <c r="F1496" s="84"/>
      <c r="G1496" s="84"/>
      <c r="H1496" s="85"/>
      <c r="I1496" s="86"/>
      <c r="J1496" s="88"/>
    </row>
    <row r="1497" spans="2:10" s="89" customFormat="1">
      <c r="B1497" s="82"/>
      <c r="C1497" s="149"/>
      <c r="D1497" s="84"/>
      <c r="E1497" s="84"/>
      <c r="F1497" s="84"/>
      <c r="G1497" s="84"/>
      <c r="H1497" s="85"/>
      <c r="I1497" s="86"/>
      <c r="J1497" s="88"/>
    </row>
    <row r="1498" spans="2:10" s="89" customFormat="1">
      <c r="B1498" s="82"/>
      <c r="C1498" s="149"/>
      <c r="D1498" s="84"/>
      <c r="E1498" s="84"/>
      <c r="F1498" s="84"/>
      <c r="G1498" s="84"/>
      <c r="H1498" s="85"/>
      <c r="I1498" s="86"/>
      <c r="J1498" s="88"/>
    </row>
    <row r="1499" spans="2:10" s="89" customFormat="1">
      <c r="B1499" s="82"/>
      <c r="C1499" s="149"/>
      <c r="D1499" s="84"/>
      <c r="E1499" s="84"/>
      <c r="F1499" s="84"/>
      <c r="G1499" s="84"/>
      <c r="H1499" s="85"/>
      <c r="I1499" s="86"/>
      <c r="J1499" s="88"/>
    </row>
    <row r="1500" spans="2:10" s="89" customFormat="1">
      <c r="B1500" s="82"/>
      <c r="C1500" s="149"/>
      <c r="D1500" s="84"/>
      <c r="E1500" s="84"/>
      <c r="F1500" s="84"/>
      <c r="G1500" s="84"/>
      <c r="H1500" s="85"/>
      <c r="I1500" s="86"/>
      <c r="J1500" s="88"/>
    </row>
    <row r="1501" spans="2:10" s="89" customFormat="1">
      <c r="B1501" s="82"/>
      <c r="C1501" s="149"/>
      <c r="D1501" s="84"/>
      <c r="E1501" s="84"/>
      <c r="F1501" s="84"/>
      <c r="G1501" s="84"/>
      <c r="H1501" s="85"/>
      <c r="I1501" s="86"/>
      <c r="J1501" s="88"/>
    </row>
    <row r="1502" spans="2:10" s="89" customFormat="1">
      <c r="B1502" s="82"/>
      <c r="C1502" s="149"/>
      <c r="D1502" s="84"/>
      <c r="E1502" s="84"/>
      <c r="F1502" s="84"/>
      <c r="G1502" s="84"/>
      <c r="H1502" s="85"/>
      <c r="I1502" s="86"/>
      <c r="J1502" s="88"/>
    </row>
    <row r="1503" spans="2:10" s="89" customFormat="1">
      <c r="B1503" s="82"/>
      <c r="C1503" s="149"/>
      <c r="D1503" s="84"/>
      <c r="E1503" s="84"/>
      <c r="F1503" s="84"/>
      <c r="G1503" s="84"/>
      <c r="H1503" s="85"/>
      <c r="I1503" s="86"/>
      <c r="J1503" s="88"/>
    </row>
    <row r="1504" spans="2:10" s="89" customFormat="1">
      <c r="B1504" s="82"/>
      <c r="C1504" s="149"/>
      <c r="D1504" s="84"/>
      <c r="E1504" s="84"/>
      <c r="F1504" s="84"/>
      <c r="G1504" s="84"/>
      <c r="H1504" s="85"/>
      <c r="I1504" s="86"/>
      <c r="J1504" s="88"/>
    </row>
    <row r="1505" spans="2:10" s="89" customFormat="1">
      <c r="B1505" s="82"/>
      <c r="C1505" s="149"/>
      <c r="D1505" s="84"/>
      <c r="E1505" s="84"/>
      <c r="F1505" s="84"/>
      <c r="G1505" s="84"/>
      <c r="H1505" s="85"/>
      <c r="I1505" s="86"/>
      <c r="J1505" s="88"/>
    </row>
    <row r="1506" spans="2:10" s="89" customFormat="1">
      <c r="B1506" s="82"/>
      <c r="C1506" s="149"/>
      <c r="D1506" s="84"/>
      <c r="E1506" s="84"/>
      <c r="F1506" s="84"/>
      <c r="G1506" s="84"/>
      <c r="H1506" s="85"/>
      <c r="I1506" s="86"/>
      <c r="J1506" s="88"/>
    </row>
    <row r="1507" spans="2:10" s="89" customFormat="1">
      <c r="B1507" s="82"/>
      <c r="C1507" s="149"/>
      <c r="D1507" s="84"/>
      <c r="E1507" s="84"/>
      <c r="F1507" s="84"/>
      <c r="G1507" s="84"/>
      <c r="H1507" s="85"/>
      <c r="I1507" s="86"/>
      <c r="J1507" s="88"/>
    </row>
    <row r="1508" spans="2:10" s="89" customFormat="1">
      <c r="B1508" s="82"/>
      <c r="C1508" s="149"/>
      <c r="D1508" s="84"/>
      <c r="E1508" s="84"/>
      <c r="F1508" s="84"/>
      <c r="G1508" s="84"/>
      <c r="H1508" s="85"/>
      <c r="I1508" s="86"/>
      <c r="J1508" s="88"/>
    </row>
    <row r="1509" spans="2:10" s="89" customFormat="1">
      <c r="B1509" s="82"/>
      <c r="C1509" s="149"/>
      <c r="D1509" s="84"/>
      <c r="E1509" s="84"/>
      <c r="F1509" s="84"/>
      <c r="G1509" s="84"/>
      <c r="H1509" s="85"/>
      <c r="I1509" s="86"/>
      <c r="J1509" s="88"/>
    </row>
    <row r="1510" spans="2:10" s="89" customFormat="1">
      <c r="B1510" s="82"/>
      <c r="C1510" s="149"/>
      <c r="D1510" s="84"/>
      <c r="E1510" s="84"/>
      <c r="F1510" s="84"/>
      <c r="G1510" s="84"/>
      <c r="H1510" s="85"/>
      <c r="I1510" s="86"/>
      <c r="J1510" s="88"/>
    </row>
    <row r="1511" spans="2:10" s="89" customFormat="1">
      <c r="B1511" s="82"/>
      <c r="C1511" s="149"/>
      <c r="D1511" s="84"/>
      <c r="E1511" s="84"/>
      <c r="F1511" s="84"/>
      <c r="G1511" s="84"/>
      <c r="H1511" s="85"/>
      <c r="I1511" s="86"/>
      <c r="J1511" s="88"/>
    </row>
    <row r="1512" spans="2:10" s="89" customFormat="1">
      <c r="B1512" s="82"/>
      <c r="C1512" s="149"/>
      <c r="D1512" s="84"/>
      <c r="E1512" s="84"/>
      <c r="F1512" s="84"/>
      <c r="G1512" s="84"/>
      <c r="H1512" s="85"/>
      <c r="I1512" s="86"/>
      <c r="J1512" s="88"/>
    </row>
    <row r="1513" spans="2:10" s="89" customFormat="1">
      <c r="B1513" s="82"/>
      <c r="C1513" s="149"/>
      <c r="D1513" s="84"/>
      <c r="E1513" s="84"/>
      <c r="F1513" s="84"/>
      <c r="G1513" s="84"/>
      <c r="H1513" s="85"/>
      <c r="I1513" s="86"/>
      <c r="J1513" s="88"/>
    </row>
    <row r="1514" spans="2:10" s="89" customFormat="1">
      <c r="B1514" s="82"/>
      <c r="C1514" s="149"/>
      <c r="D1514" s="84"/>
      <c r="E1514" s="84"/>
      <c r="F1514" s="84"/>
      <c r="G1514" s="84"/>
      <c r="H1514" s="85"/>
      <c r="I1514" s="86"/>
      <c r="J1514" s="88"/>
    </row>
    <row r="1515" spans="2:10" s="89" customFormat="1">
      <c r="B1515" s="82"/>
      <c r="C1515" s="149"/>
      <c r="D1515" s="84"/>
      <c r="E1515" s="84"/>
      <c r="F1515" s="84"/>
      <c r="G1515" s="84"/>
      <c r="H1515" s="85"/>
      <c r="I1515" s="86"/>
      <c r="J1515" s="88"/>
    </row>
    <row r="1516" spans="2:10" s="89" customFormat="1">
      <c r="B1516" s="82"/>
      <c r="C1516" s="149"/>
      <c r="D1516" s="84"/>
      <c r="E1516" s="84"/>
      <c r="F1516" s="84"/>
      <c r="G1516" s="84"/>
      <c r="H1516" s="85"/>
      <c r="I1516" s="86"/>
      <c r="J1516" s="88"/>
    </row>
    <row r="1517" spans="2:10" s="89" customFormat="1">
      <c r="B1517" s="82"/>
      <c r="C1517" s="149"/>
      <c r="D1517" s="84"/>
      <c r="E1517" s="84"/>
      <c r="F1517" s="84"/>
      <c r="G1517" s="84"/>
      <c r="H1517" s="85"/>
      <c r="I1517" s="86"/>
      <c r="J1517" s="88"/>
    </row>
    <row r="1518" spans="2:10" s="89" customFormat="1">
      <c r="B1518" s="82"/>
      <c r="C1518" s="149"/>
      <c r="D1518" s="84"/>
      <c r="E1518" s="84"/>
      <c r="F1518" s="84"/>
      <c r="G1518" s="84"/>
      <c r="H1518" s="85"/>
      <c r="I1518" s="86"/>
      <c r="J1518" s="88"/>
    </row>
    <row r="1519" spans="2:10" s="89" customFormat="1">
      <c r="B1519" s="82"/>
      <c r="C1519" s="149"/>
      <c r="D1519" s="84"/>
      <c r="E1519" s="84"/>
      <c r="F1519" s="84"/>
      <c r="G1519" s="84"/>
      <c r="H1519" s="85"/>
      <c r="I1519" s="86"/>
      <c r="J1519" s="88"/>
    </row>
    <row r="1520" spans="2:10" s="89" customFormat="1">
      <c r="B1520" s="82"/>
      <c r="C1520" s="149"/>
      <c r="D1520" s="84"/>
      <c r="E1520" s="84"/>
      <c r="F1520" s="84"/>
      <c r="G1520" s="84"/>
      <c r="H1520" s="85"/>
      <c r="I1520" s="86"/>
      <c r="J1520" s="88"/>
    </row>
    <row r="1521" spans="2:10" s="89" customFormat="1">
      <c r="B1521" s="82"/>
      <c r="C1521" s="149"/>
      <c r="D1521" s="84"/>
      <c r="E1521" s="84"/>
      <c r="F1521" s="84"/>
      <c r="G1521" s="84"/>
      <c r="H1521" s="85"/>
      <c r="I1521" s="86"/>
      <c r="J1521" s="88"/>
    </row>
    <row r="1522" spans="2:10" s="89" customFormat="1">
      <c r="B1522" s="82"/>
      <c r="C1522" s="149"/>
      <c r="D1522" s="84"/>
      <c r="E1522" s="84"/>
      <c r="F1522" s="84"/>
      <c r="G1522" s="84"/>
      <c r="H1522" s="85"/>
      <c r="I1522" s="86"/>
      <c r="J1522" s="88"/>
    </row>
    <row r="1523" spans="2:10" s="89" customFormat="1">
      <c r="B1523" s="82"/>
      <c r="C1523" s="149"/>
      <c r="D1523" s="84"/>
      <c r="E1523" s="84"/>
      <c r="F1523" s="84"/>
      <c r="G1523" s="84"/>
      <c r="H1523" s="85"/>
      <c r="I1523" s="86"/>
      <c r="J1523" s="88"/>
    </row>
    <row r="1524" spans="2:10" s="89" customFormat="1">
      <c r="B1524" s="82"/>
      <c r="C1524" s="149"/>
      <c r="D1524" s="84"/>
      <c r="E1524" s="84"/>
      <c r="F1524" s="84"/>
      <c r="G1524" s="84"/>
      <c r="H1524" s="85"/>
      <c r="I1524" s="86"/>
      <c r="J1524" s="88"/>
    </row>
    <row r="1525" spans="2:10" s="89" customFormat="1">
      <c r="B1525" s="82"/>
      <c r="C1525" s="149"/>
      <c r="D1525" s="84"/>
      <c r="E1525" s="84"/>
      <c r="F1525" s="84"/>
      <c r="G1525" s="84"/>
      <c r="H1525" s="85"/>
      <c r="I1525" s="86"/>
      <c r="J1525" s="88"/>
    </row>
    <row r="1526" spans="2:10" s="89" customFormat="1">
      <c r="B1526" s="82"/>
      <c r="C1526" s="149"/>
      <c r="D1526" s="84"/>
      <c r="E1526" s="84"/>
      <c r="F1526" s="84"/>
      <c r="G1526" s="84"/>
      <c r="H1526" s="85"/>
      <c r="I1526" s="86"/>
      <c r="J1526" s="88"/>
    </row>
    <row r="1527" spans="2:10" s="89" customFormat="1">
      <c r="B1527" s="82"/>
      <c r="C1527" s="149"/>
      <c r="D1527" s="84"/>
      <c r="E1527" s="84"/>
      <c r="F1527" s="84"/>
      <c r="G1527" s="84"/>
      <c r="H1527" s="85"/>
      <c r="I1527" s="86"/>
      <c r="J1527" s="88"/>
    </row>
    <row r="1528" spans="2:10" s="89" customFormat="1">
      <c r="B1528" s="82"/>
      <c r="C1528" s="149"/>
      <c r="D1528" s="84"/>
      <c r="E1528" s="84"/>
      <c r="F1528" s="84"/>
      <c r="G1528" s="84"/>
      <c r="H1528" s="85"/>
      <c r="I1528" s="86"/>
      <c r="J1528" s="88"/>
    </row>
    <row r="1529" spans="2:10" s="89" customFormat="1">
      <c r="B1529" s="82"/>
      <c r="C1529" s="149"/>
      <c r="D1529" s="84"/>
      <c r="E1529" s="84"/>
      <c r="F1529" s="84"/>
      <c r="G1529" s="84"/>
      <c r="H1529" s="85"/>
      <c r="I1529" s="86"/>
      <c r="J1529" s="88"/>
    </row>
    <row r="1530" spans="2:10" s="89" customFormat="1">
      <c r="B1530" s="82"/>
      <c r="C1530" s="149"/>
      <c r="D1530" s="84"/>
      <c r="E1530" s="84"/>
      <c r="F1530" s="84"/>
      <c r="G1530" s="84"/>
      <c r="H1530" s="85"/>
      <c r="I1530" s="86"/>
      <c r="J1530" s="88"/>
    </row>
    <row r="1531" spans="2:10" s="89" customFormat="1">
      <c r="B1531" s="82"/>
      <c r="C1531" s="149"/>
      <c r="D1531" s="84"/>
      <c r="E1531" s="84"/>
      <c r="F1531" s="84"/>
      <c r="G1531" s="84"/>
      <c r="H1531" s="85"/>
      <c r="I1531" s="86"/>
      <c r="J1531" s="88"/>
    </row>
    <row r="1532" spans="2:10" s="89" customFormat="1">
      <c r="B1532" s="82"/>
      <c r="C1532" s="149"/>
      <c r="D1532" s="84"/>
      <c r="E1532" s="84"/>
      <c r="F1532" s="84"/>
      <c r="G1532" s="84"/>
      <c r="H1532" s="85"/>
      <c r="I1532" s="86"/>
      <c r="J1532" s="88"/>
    </row>
    <row r="1533" spans="2:10" s="89" customFormat="1">
      <c r="B1533" s="82"/>
      <c r="C1533" s="149"/>
      <c r="D1533" s="84"/>
      <c r="E1533" s="84"/>
      <c r="F1533" s="84"/>
      <c r="G1533" s="84"/>
      <c r="H1533" s="85"/>
      <c r="I1533" s="86"/>
      <c r="J1533" s="88"/>
    </row>
    <row r="1534" spans="2:10" s="89" customFormat="1">
      <c r="B1534" s="82"/>
      <c r="C1534" s="149"/>
      <c r="D1534" s="84"/>
      <c r="E1534" s="84"/>
      <c r="F1534" s="84"/>
      <c r="G1534" s="84"/>
      <c r="H1534" s="85"/>
      <c r="I1534" s="86"/>
      <c r="J1534" s="88"/>
    </row>
    <row r="1535" spans="2:10" s="89" customFormat="1">
      <c r="B1535" s="82"/>
      <c r="C1535" s="149"/>
      <c r="D1535" s="84"/>
      <c r="E1535" s="84"/>
      <c r="F1535" s="84"/>
      <c r="G1535" s="84"/>
      <c r="H1535" s="85"/>
      <c r="I1535" s="86"/>
      <c r="J1535" s="88"/>
    </row>
    <row r="1536" spans="2:10" s="89" customFormat="1">
      <c r="B1536" s="82"/>
      <c r="C1536" s="149"/>
      <c r="D1536" s="84"/>
      <c r="E1536" s="84"/>
      <c r="F1536" s="84"/>
      <c r="G1536" s="84"/>
      <c r="H1536" s="85"/>
      <c r="I1536" s="86"/>
      <c r="J1536" s="88"/>
    </row>
    <row r="1537" spans="2:10" s="89" customFormat="1">
      <c r="B1537" s="82"/>
      <c r="C1537" s="149"/>
      <c r="D1537" s="84"/>
      <c r="E1537" s="84"/>
      <c r="F1537" s="84"/>
      <c r="G1537" s="84"/>
      <c r="H1537" s="85"/>
      <c r="I1537" s="86"/>
      <c r="J1537" s="88"/>
    </row>
    <row r="1538" spans="2:10" s="89" customFormat="1">
      <c r="B1538" s="82"/>
      <c r="C1538" s="149"/>
      <c r="D1538" s="84"/>
      <c r="E1538" s="84"/>
      <c r="F1538" s="84"/>
      <c r="G1538" s="84"/>
      <c r="H1538" s="85"/>
      <c r="I1538" s="86"/>
      <c r="J1538" s="88"/>
    </row>
    <row r="1539" spans="2:10" s="89" customFormat="1">
      <c r="B1539" s="82"/>
      <c r="C1539" s="149"/>
      <c r="D1539" s="84"/>
      <c r="E1539" s="84"/>
      <c r="F1539" s="84"/>
      <c r="G1539" s="84"/>
      <c r="H1539" s="85"/>
      <c r="I1539" s="86"/>
      <c r="J1539" s="88"/>
    </row>
    <row r="1540" spans="2:10" s="89" customFormat="1">
      <c r="B1540" s="82"/>
      <c r="C1540" s="149"/>
      <c r="D1540" s="84"/>
      <c r="E1540" s="84"/>
      <c r="F1540" s="84"/>
      <c r="G1540" s="84"/>
      <c r="H1540" s="85"/>
      <c r="I1540" s="86"/>
      <c r="J1540" s="88"/>
    </row>
    <row r="1541" spans="2:10" s="89" customFormat="1">
      <c r="B1541" s="82"/>
      <c r="C1541" s="149"/>
      <c r="D1541" s="84"/>
      <c r="E1541" s="84"/>
      <c r="F1541" s="84"/>
      <c r="G1541" s="84"/>
      <c r="H1541" s="85"/>
      <c r="I1541" s="86"/>
      <c r="J1541" s="88"/>
    </row>
    <row r="1542" spans="2:10" s="89" customFormat="1">
      <c r="B1542" s="82"/>
      <c r="C1542" s="149"/>
      <c r="D1542" s="84"/>
      <c r="E1542" s="84"/>
      <c r="F1542" s="84"/>
      <c r="G1542" s="84"/>
      <c r="H1542" s="85"/>
      <c r="I1542" s="86"/>
      <c r="J1542" s="88"/>
    </row>
    <row r="1543" spans="2:10" s="89" customFormat="1">
      <c r="B1543" s="82"/>
      <c r="C1543" s="149"/>
      <c r="D1543" s="84"/>
      <c r="E1543" s="84"/>
      <c r="F1543" s="84"/>
      <c r="G1543" s="84"/>
      <c r="H1543" s="85"/>
      <c r="I1543" s="86"/>
      <c r="J1543" s="88"/>
    </row>
    <row r="1544" spans="2:10" s="89" customFormat="1">
      <c r="B1544" s="82"/>
      <c r="C1544" s="149"/>
      <c r="D1544" s="84"/>
      <c r="E1544" s="84"/>
      <c r="F1544" s="84"/>
      <c r="G1544" s="84"/>
      <c r="H1544" s="85"/>
      <c r="I1544" s="86"/>
      <c r="J1544" s="88"/>
    </row>
    <row r="1545" spans="2:10" s="89" customFormat="1">
      <c r="B1545" s="82"/>
      <c r="C1545" s="149"/>
      <c r="D1545" s="84"/>
      <c r="E1545" s="84"/>
      <c r="F1545" s="84"/>
      <c r="G1545" s="84"/>
      <c r="H1545" s="85"/>
      <c r="I1545" s="86"/>
      <c r="J1545" s="88"/>
    </row>
    <row r="1546" spans="2:10" s="89" customFormat="1">
      <c r="B1546" s="82"/>
      <c r="C1546" s="149"/>
      <c r="D1546" s="84"/>
      <c r="E1546" s="84"/>
      <c r="F1546" s="84"/>
      <c r="G1546" s="84"/>
      <c r="H1546" s="85"/>
      <c r="I1546" s="86"/>
      <c r="J1546" s="88"/>
    </row>
    <row r="1547" spans="2:10" s="89" customFormat="1">
      <c r="B1547" s="82"/>
      <c r="C1547" s="149"/>
      <c r="D1547" s="84"/>
      <c r="E1547" s="84"/>
      <c r="F1547" s="84"/>
      <c r="G1547" s="84"/>
      <c r="H1547" s="85"/>
      <c r="I1547" s="86"/>
      <c r="J1547" s="88"/>
    </row>
    <row r="1548" spans="2:10" s="89" customFormat="1">
      <c r="B1548" s="82"/>
      <c r="C1548" s="149"/>
      <c r="D1548" s="84"/>
      <c r="E1548" s="84"/>
      <c r="F1548" s="84"/>
      <c r="G1548" s="84"/>
      <c r="H1548" s="85"/>
      <c r="I1548" s="86"/>
      <c r="J1548" s="88"/>
    </row>
    <row r="1549" spans="2:10" s="89" customFormat="1">
      <c r="B1549" s="82"/>
      <c r="C1549" s="149"/>
      <c r="D1549" s="84"/>
      <c r="E1549" s="84"/>
      <c r="F1549" s="84"/>
      <c r="G1549" s="84"/>
      <c r="H1549" s="85"/>
      <c r="I1549" s="86"/>
      <c r="J1549" s="88"/>
    </row>
    <row r="1550" spans="2:10" s="89" customFormat="1">
      <c r="B1550" s="82"/>
      <c r="C1550" s="149"/>
      <c r="D1550" s="84"/>
      <c r="E1550" s="84"/>
      <c r="F1550" s="84"/>
      <c r="G1550" s="84"/>
      <c r="H1550" s="85"/>
      <c r="I1550" s="86"/>
      <c r="J1550" s="88"/>
    </row>
    <row r="1551" spans="2:10" s="89" customFormat="1">
      <c r="B1551" s="82"/>
      <c r="C1551" s="149"/>
      <c r="D1551" s="84"/>
      <c r="E1551" s="84"/>
      <c r="F1551" s="84"/>
      <c r="G1551" s="84"/>
      <c r="H1551" s="85"/>
      <c r="I1551" s="86"/>
      <c r="J1551" s="88"/>
    </row>
    <row r="1552" spans="2:10" s="89" customFormat="1">
      <c r="B1552" s="82"/>
      <c r="C1552" s="149"/>
      <c r="D1552" s="84"/>
      <c r="E1552" s="84"/>
      <c r="F1552" s="84"/>
      <c r="G1552" s="84"/>
      <c r="H1552" s="85"/>
      <c r="I1552" s="86"/>
      <c r="J1552" s="88"/>
    </row>
    <row r="1553" spans="2:10" s="89" customFormat="1">
      <c r="B1553" s="82"/>
      <c r="C1553" s="149"/>
      <c r="D1553" s="84"/>
      <c r="E1553" s="84"/>
      <c r="F1553" s="84"/>
      <c r="G1553" s="84"/>
      <c r="H1553" s="85"/>
      <c r="I1553" s="86"/>
      <c r="J1553" s="88"/>
    </row>
    <row r="1554" spans="2:10" s="89" customFormat="1">
      <c r="B1554" s="82"/>
      <c r="C1554" s="149"/>
      <c r="D1554" s="84"/>
      <c r="E1554" s="84"/>
      <c r="F1554" s="84"/>
      <c r="G1554" s="84"/>
      <c r="H1554" s="85"/>
      <c r="I1554" s="86"/>
      <c r="J1554" s="88"/>
    </row>
    <row r="1555" spans="2:10" s="89" customFormat="1">
      <c r="B1555" s="82"/>
      <c r="C1555" s="149"/>
      <c r="D1555" s="84"/>
      <c r="E1555" s="84"/>
      <c r="F1555" s="84"/>
      <c r="G1555" s="84"/>
      <c r="H1555" s="85"/>
      <c r="I1555" s="86"/>
      <c r="J1555" s="88"/>
    </row>
    <row r="1556" spans="2:10" s="89" customFormat="1">
      <c r="B1556" s="82"/>
      <c r="C1556" s="149"/>
      <c r="D1556" s="84"/>
      <c r="E1556" s="84"/>
      <c r="F1556" s="84"/>
      <c r="G1556" s="84"/>
      <c r="H1556" s="85"/>
      <c r="I1556" s="86"/>
      <c r="J1556" s="88"/>
    </row>
    <row r="1557" spans="2:10" s="89" customFormat="1">
      <c r="B1557" s="82"/>
      <c r="C1557" s="149"/>
      <c r="D1557" s="84"/>
      <c r="E1557" s="84"/>
      <c r="F1557" s="84"/>
      <c r="G1557" s="84"/>
      <c r="H1557" s="85"/>
      <c r="I1557" s="86"/>
      <c r="J1557" s="88"/>
    </row>
    <row r="1558" spans="2:10" s="89" customFormat="1">
      <c r="B1558" s="82"/>
      <c r="C1558" s="149"/>
      <c r="D1558" s="84"/>
      <c r="E1558" s="84"/>
      <c r="F1558" s="84"/>
      <c r="G1558" s="84"/>
      <c r="H1558" s="85"/>
      <c r="I1558" s="86"/>
      <c r="J1558" s="88"/>
    </row>
    <row r="1559" spans="2:10" s="89" customFormat="1">
      <c r="B1559" s="82"/>
      <c r="C1559" s="149"/>
      <c r="D1559" s="84"/>
      <c r="E1559" s="84"/>
      <c r="F1559" s="84"/>
      <c r="G1559" s="84"/>
      <c r="H1559" s="85"/>
      <c r="I1559" s="86"/>
      <c r="J1559" s="88"/>
    </row>
    <row r="1560" spans="2:10" s="89" customFormat="1">
      <c r="B1560" s="82"/>
      <c r="C1560" s="149"/>
      <c r="D1560" s="84"/>
      <c r="E1560" s="84"/>
      <c r="F1560" s="84"/>
      <c r="G1560" s="84"/>
      <c r="H1560" s="85"/>
      <c r="I1560" s="86"/>
      <c r="J1560" s="88"/>
    </row>
    <row r="1561" spans="2:10" s="89" customFormat="1">
      <c r="B1561" s="82"/>
      <c r="C1561" s="149"/>
      <c r="D1561" s="84"/>
      <c r="E1561" s="84"/>
      <c r="F1561" s="84"/>
      <c r="G1561" s="84"/>
      <c r="H1561" s="85"/>
      <c r="I1561" s="86"/>
      <c r="J1561" s="88"/>
    </row>
    <row r="1562" spans="2:10" s="89" customFormat="1">
      <c r="B1562" s="82"/>
      <c r="C1562" s="149"/>
      <c r="D1562" s="84"/>
      <c r="E1562" s="84"/>
      <c r="F1562" s="84"/>
      <c r="G1562" s="84"/>
      <c r="H1562" s="85"/>
      <c r="I1562" s="86"/>
      <c r="J1562" s="88"/>
    </row>
    <row r="1563" spans="2:10" s="89" customFormat="1">
      <c r="B1563" s="82"/>
      <c r="C1563" s="149"/>
      <c r="D1563" s="84"/>
      <c r="E1563" s="84"/>
      <c r="F1563" s="84"/>
      <c r="G1563" s="84"/>
      <c r="H1563" s="85"/>
      <c r="I1563" s="86"/>
      <c r="J1563" s="88"/>
    </row>
    <row r="1564" spans="2:10" s="89" customFormat="1">
      <c r="B1564" s="82"/>
      <c r="C1564" s="149"/>
      <c r="D1564" s="84"/>
      <c r="E1564" s="84"/>
      <c r="F1564" s="84"/>
      <c r="G1564" s="84"/>
      <c r="H1564" s="85"/>
      <c r="I1564" s="86"/>
      <c r="J1564" s="88"/>
    </row>
    <row r="1565" spans="2:10" s="89" customFormat="1">
      <c r="B1565" s="82"/>
      <c r="C1565" s="149"/>
      <c r="D1565" s="84"/>
      <c r="E1565" s="84"/>
      <c r="F1565" s="84"/>
      <c r="G1565" s="84"/>
      <c r="H1565" s="85"/>
      <c r="I1565" s="86"/>
      <c r="J1565" s="88"/>
    </row>
    <row r="1566" spans="2:10" s="89" customFormat="1">
      <c r="B1566" s="82"/>
      <c r="C1566" s="149"/>
      <c r="D1566" s="84"/>
      <c r="E1566" s="84"/>
      <c r="F1566" s="84"/>
      <c r="G1566" s="84"/>
      <c r="H1566" s="85"/>
      <c r="I1566" s="86"/>
      <c r="J1566" s="88"/>
    </row>
    <row r="1567" spans="2:10" s="89" customFormat="1">
      <c r="B1567" s="82"/>
      <c r="C1567" s="149"/>
      <c r="D1567" s="84"/>
      <c r="E1567" s="84"/>
      <c r="F1567" s="84"/>
      <c r="G1567" s="84"/>
      <c r="H1567" s="85"/>
      <c r="I1567" s="86"/>
      <c r="J1567" s="88"/>
    </row>
    <row r="1568" spans="2:10" s="89" customFormat="1">
      <c r="B1568" s="82"/>
      <c r="C1568" s="149"/>
      <c r="D1568" s="84"/>
      <c r="E1568" s="84"/>
      <c r="F1568" s="84"/>
      <c r="G1568" s="84"/>
      <c r="H1568" s="85"/>
      <c r="I1568" s="86"/>
      <c r="J1568" s="88"/>
    </row>
    <row r="1569" spans="2:10" s="89" customFormat="1">
      <c r="B1569" s="82"/>
      <c r="C1569" s="149"/>
      <c r="D1569" s="84"/>
      <c r="E1569" s="84"/>
      <c r="F1569" s="84"/>
      <c r="G1569" s="84"/>
      <c r="H1569" s="85"/>
      <c r="I1569" s="86"/>
      <c r="J1569" s="88"/>
    </row>
    <row r="1570" spans="2:10" s="89" customFormat="1">
      <c r="B1570" s="82"/>
      <c r="C1570" s="149"/>
      <c r="D1570" s="84"/>
      <c r="E1570" s="84"/>
      <c r="F1570" s="84"/>
      <c r="G1570" s="84"/>
      <c r="H1570" s="85"/>
      <c r="I1570" s="86"/>
      <c r="J1570" s="88"/>
    </row>
    <row r="1571" spans="2:10" s="89" customFormat="1">
      <c r="B1571" s="82"/>
      <c r="C1571" s="149"/>
      <c r="D1571" s="84"/>
      <c r="E1571" s="84"/>
      <c r="F1571" s="84"/>
      <c r="G1571" s="84"/>
      <c r="H1571" s="85"/>
      <c r="I1571" s="86"/>
      <c r="J1571" s="88"/>
    </row>
    <row r="1572" spans="2:10" s="89" customFormat="1">
      <c r="B1572" s="82"/>
      <c r="C1572" s="149"/>
      <c r="D1572" s="84"/>
      <c r="E1572" s="84"/>
      <c r="F1572" s="84"/>
      <c r="G1572" s="84"/>
      <c r="H1572" s="85"/>
      <c r="I1572" s="86"/>
      <c r="J1572" s="88"/>
    </row>
    <row r="1573" spans="2:10" s="89" customFormat="1">
      <c r="B1573" s="82"/>
      <c r="C1573" s="149"/>
      <c r="D1573" s="84"/>
      <c r="E1573" s="84"/>
      <c r="F1573" s="84"/>
      <c r="G1573" s="84"/>
      <c r="H1573" s="85"/>
      <c r="I1573" s="86"/>
      <c r="J1573" s="88"/>
    </row>
    <row r="1574" spans="2:10" s="89" customFormat="1">
      <c r="B1574" s="82"/>
      <c r="C1574" s="149"/>
      <c r="D1574" s="84"/>
      <c r="E1574" s="84"/>
      <c r="F1574" s="84"/>
      <c r="G1574" s="84"/>
      <c r="H1574" s="85"/>
      <c r="I1574" s="86"/>
      <c r="J1574" s="88"/>
    </row>
    <row r="1575" spans="2:10" s="89" customFormat="1">
      <c r="B1575" s="82"/>
      <c r="C1575" s="149"/>
      <c r="D1575" s="84"/>
      <c r="E1575" s="84"/>
      <c r="F1575" s="84"/>
      <c r="G1575" s="84"/>
      <c r="H1575" s="85"/>
      <c r="I1575" s="86"/>
      <c r="J1575" s="88"/>
    </row>
    <row r="1576" spans="2:10" s="89" customFormat="1">
      <c r="B1576" s="82"/>
      <c r="C1576" s="149"/>
      <c r="D1576" s="84"/>
      <c r="E1576" s="84"/>
      <c r="F1576" s="84"/>
      <c r="G1576" s="84"/>
      <c r="H1576" s="85"/>
      <c r="I1576" s="86"/>
      <c r="J1576" s="88"/>
    </row>
    <row r="1577" spans="2:10" s="89" customFormat="1">
      <c r="B1577" s="82"/>
      <c r="C1577" s="149"/>
      <c r="D1577" s="84"/>
      <c r="E1577" s="84"/>
      <c r="F1577" s="84"/>
      <c r="G1577" s="84"/>
      <c r="H1577" s="85"/>
      <c r="I1577" s="86"/>
      <c r="J1577" s="88"/>
    </row>
    <row r="1578" spans="2:10" s="89" customFormat="1">
      <c r="B1578" s="82"/>
      <c r="C1578" s="149"/>
      <c r="D1578" s="84"/>
      <c r="E1578" s="84"/>
      <c r="F1578" s="84"/>
      <c r="G1578" s="84"/>
      <c r="H1578" s="85"/>
      <c r="I1578" s="86"/>
      <c r="J1578" s="88"/>
    </row>
    <row r="1579" spans="2:10" s="89" customFormat="1">
      <c r="B1579" s="82"/>
      <c r="C1579" s="149"/>
      <c r="D1579" s="84"/>
      <c r="E1579" s="84"/>
      <c r="F1579" s="84"/>
      <c r="G1579" s="84"/>
      <c r="H1579" s="85"/>
      <c r="I1579" s="86"/>
      <c r="J1579" s="88"/>
    </row>
    <row r="1580" spans="2:10" s="89" customFormat="1">
      <c r="B1580" s="82"/>
      <c r="C1580" s="149"/>
      <c r="D1580" s="84"/>
      <c r="E1580" s="84"/>
      <c r="F1580" s="84"/>
      <c r="G1580" s="84"/>
      <c r="H1580" s="85"/>
      <c r="I1580" s="86"/>
      <c r="J1580" s="88"/>
    </row>
    <row r="1581" spans="2:10" s="89" customFormat="1">
      <c r="B1581" s="82"/>
      <c r="C1581" s="149"/>
      <c r="D1581" s="84"/>
      <c r="E1581" s="84"/>
      <c r="F1581" s="84"/>
      <c r="G1581" s="84"/>
      <c r="H1581" s="85"/>
      <c r="I1581" s="86"/>
      <c r="J1581" s="88"/>
    </row>
    <row r="1582" spans="2:10" s="89" customFormat="1">
      <c r="B1582" s="82"/>
      <c r="C1582" s="149"/>
      <c r="D1582" s="84"/>
      <c r="E1582" s="84"/>
      <c r="F1582" s="84"/>
      <c r="G1582" s="84"/>
      <c r="H1582" s="85"/>
      <c r="I1582" s="86"/>
      <c r="J1582" s="88"/>
    </row>
    <row r="1583" spans="2:10" s="89" customFormat="1">
      <c r="B1583" s="82"/>
      <c r="C1583" s="149"/>
      <c r="D1583" s="84"/>
      <c r="E1583" s="84"/>
      <c r="F1583" s="84"/>
      <c r="G1583" s="84"/>
      <c r="H1583" s="85"/>
      <c r="I1583" s="86"/>
      <c r="J1583" s="88"/>
    </row>
    <row r="1584" spans="2:10" s="89" customFormat="1">
      <c r="B1584" s="82"/>
      <c r="C1584" s="149"/>
      <c r="D1584" s="84"/>
      <c r="E1584" s="84"/>
      <c r="F1584" s="84"/>
      <c r="G1584" s="84"/>
      <c r="H1584" s="85"/>
      <c r="I1584" s="86"/>
      <c r="J1584" s="88"/>
    </row>
  </sheetData>
  <customSheetViews>
    <customSheetView guid="{FBB3E572-A647-4B8C-96C7-F43FE4F7CAA8}" scale="120" showPageBreaks="1" fitToPage="1" hiddenColumns="1" view="pageBreakPreview">
      <pane ySplit="4" topLeftCell="A5" activePane="bottomLeft" state="frozen"/>
      <selection pane="bottomLeft" activeCell="J43" sqref="J43"/>
      <pageMargins left="0.72" right="0.27559055118110237" top="0.39370078740157483" bottom="0.23622047244094491" header="0.31496062992125984" footer="0.19685039370078741"/>
      <pageSetup paperSize="9" scale="86" fitToHeight="2" orientation="portrait" verticalDpi="0" r:id="rId1"/>
    </customSheetView>
    <customSheetView guid="{900EF7B2-0D63-4DE2-9CFC-2D2B3788802C}" scale="120" showPageBreaks="1" fitToPage="1" hiddenColumns="1" view="pageBreakPreview">
      <pane ySplit="4" topLeftCell="A5" activePane="bottomLeft" state="frozen"/>
      <selection pane="bottomLeft" activeCell="J43" sqref="J43"/>
      <pageMargins left="0.72" right="0.27559055118110237" top="0.39370078740157483" bottom="0.23622047244094491" header="0.31496062992125984" footer="0.19685039370078741"/>
      <pageSetup paperSize="9" scale="86" fitToHeight="2" orientation="portrait" verticalDpi="0" r:id="rId2"/>
    </customSheetView>
    <customSheetView guid="{CC6D6007-EFDE-464F-BD7C-A67043AC5D5C}" scale="120" showPageBreaks="1" fitToPage="1" hiddenColumns="1" view="pageBreakPreview">
      <pane ySplit="4" topLeftCell="A5" activePane="bottomLeft" state="frozen"/>
      <selection pane="bottomLeft" activeCell="B25" sqref="B25"/>
      <pageMargins left="0.72" right="0.27559055118110237" top="0.39370078740157483" bottom="0.23622047244094491" header="0.31496062992125984" footer="0.19685039370078741"/>
      <pageSetup paperSize="9" scale="86" fitToHeight="2" orientation="portrait" verticalDpi="0" r:id="rId3"/>
    </customSheetView>
    <customSheetView guid="{C0FE86CC-5BB4-4265-957F-F51B909B3E81}" scale="120" showPageBreaks="1" fitToPage="1" hiddenColumns="1" view="pageBreakPreview">
      <pane ySplit="4" topLeftCell="A5" activePane="bottomLeft" state="frozen"/>
      <selection pane="bottomLeft" activeCell="B18" sqref="B18"/>
      <pageMargins left="0.72" right="0.27559055118110237" top="0.39370078740157483" bottom="0.23622047244094491" header="0.31496062992125984" footer="0.19685039370078741"/>
      <pageSetup paperSize="9" scale="86" fitToHeight="2" orientation="portrait" verticalDpi="0" r:id="rId4"/>
    </customSheetView>
  </customSheetViews>
  <mergeCells count="5">
    <mergeCell ref="B3:B4"/>
    <mergeCell ref="C3:C4"/>
    <mergeCell ref="D3:G3"/>
    <mergeCell ref="I3:I5"/>
    <mergeCell ref="J3:J5"/>
  </mergeCells>
  <pageMargins left="0.72" right="0.27559055118110237" top="0.39370078740157483" bottom="0.23622047244094491" header="0.31496062992125984" footer="0.19685039370078741"/>
  <pageSetup paperSize="9" scale="86" fitToHeight="2" orientation="portrait" verticalDpi="0" r:id="rId5"/>
  <legacyDrawing r:id="rId6"/>
</worksheet>
</file>

<file path=xl/worksheets/sheet2.xml><?xml version="1.0" encoding="utf-8"?>
<worksheet xmlns="http://schemas.openxmlformats.org/spreadsheetml/2006/main" xmlns:r="http://schemas.openxmlformats.org/officeDocument/2006/relationships">
  <dimension ref="A1:J36"/>
  <sheetViews>
    <sheetView tabSelected="1" workbookViewId="0">
      <selection activeCell="F11" sqref="F11"/>
    </sheetView>
  </sheetViews>
  <sheetFormatPr defaultRowHeight="15"/>
  <cols>
    <col min="1" max="1" width="26.140625" customWidth="1"/>
    <col min="2" max="2" width="26.7109375" customWidth="1"/>
    <col min="3" max="3" width="0.140625" customWidth="1"/>
    <col min="4" max="4" width="22.140625" customWidth="1"/>
    <col min="5" max="5" width="23.5703125" customWidth="1"/>
    <col min="6" max="6" width="53.140625" customWidth="1"/>
    <col min="7" max="10" width="9.140625" hidden="1" customWidth="1"/>
  </cols>
  <sheetData>
    <row r="1" spans="1:10" ht="31.5" customHeight="1" thickBot="1">
      <c r="A1" s="1770" t="s">
        <v>2538</v>
      </c>
      <c r="B1" s="1364"/>
      <c r="C1" s="1364"/>
      <c r="D1" s="1364"/>
      <c r="E1" s="1364"/>
      <c r="F1" s="1753"/>
    </row>
    <row r="2" spans="1:10" ht="18" thickBot="1">
      <c r="A2" s="1771" t="s">
        <v>2539</v>
      </c>
      <c r="B2" s="1755"/>
      <c r="C2" s="1755"/>
      <c r="D2" s="1755"/>
      <c r="E2" s="1756"/>
      <c r="F2" s="1754"/>
      <c r="G2" s="321"/>
      <c r="H2" s="321"/>
      <c r="I2" s="321"/>
      <c r="J2" s="324" t="s">
        <v>430</v>
      </c>
    </row>
    <row r="3" spans="1:10" ht="15.75" thickBot="1">
      <c r="A3" s="1757"/>
      <c r="B3" s="1758"/>
      <c r="C3" s="1757"/>
      <c r="D3" s="1759"/>
      <c r="E3" s="1760"/>
      <c r="F3" s="1753"/>
    </row>
    <row r="4" spans="1:10" ht="50.25" thickBot="1">
      <c r="A4" s="1765" t="s">
        <v>2511</v>
      </c>
      <c r="B4" s="1766" t="s">
        <v>2537</v>
      </c>
      <c r="C4" s="1767"/>
      <c r="D4" s="1768" t="s">
        <v>2517</v>
      </c>
      <c r="E4" s="1769" t="s">
        <v>2518</v>
      </c>
      <c r="F4" s="1753"/>
    </row>
    <row r="5" spans="1:10" ht="22.5" customHeight="1">
      <c r="A5" s="1763" t="s">
        <v>2521</v>
      </c>
      <c r="B5" s="1761">
        <v>27</v>
      </c>
      <c r="C5" s="1747">
        <v>1127.3499999999999</v>
      </c>
      <c r="D5" s="1751">
        <v>1315</v>
      </c>
      <c r="E5" s="1752">
        <v>1225</v>
      </c>
      <c r="F5" s="1753"/>
    </row>
    <row r="6" spans="1:10" ht="25.5" customHeight="1">
      <c r="A6" s="1764" t="s">
        <v>2522</v>
      </c>
      <c r="B6" s="1762">
        <v>35</v>
      </c>
      <c r="C6" s="1741">
        <v>1325.65</v>
      </c>
      <c r="D6" s="1748">
        <v>1555</v>
      </c>
      <c r="E6" s="1749">
        <v>1450</v>
      </c>
    </row>
    <row r="7" spans="1:10" ht="27.75" customHeight="1">
      <c r="A7" s="1764" t="s">
        <v>2523</v>
      </c>
      <c r="B7" s="1762">
        <v>50</v>
      </c>
      <c r="C7" s="1741">
        <v>1730.87</v>
      </c>
      <c r="D7" s="1748">
        <v>2005</v>
      </c>
      <c r="E7" s="1749">
        <v>1870</v>
      </c>
    </row>
    <row r="8" spans="1:10" ht="25.5" customHeight="1">
      <c r="A8" s="1764" t="s">
        <v>2524</v>
      </c>
      <c r="B8" s="1762">
        <v>60</v>
      </c>
      <c r="C8" s="1741">
        <v>2068.38</v>
      </c>
      <c r="D8" s="1750">
        <v>2305</v>
      </c>
      <c r="E8" s="1749">
        <v>2150</v>
      </c>
    </row>
    <row r="9" spans="1:10" ht="27" customHeight="1">
      <c r="A9" s="1764" t="s">
        <v>2525</v>
      </c>
      <c r="B9" s="1762">
        <v>75</v>
      </c>
      <c r="C9" s="1741">
        <v>2735.51</v>
      </c>
      <c r="D9" s="1750">
        <v>3025</v>
      </c>
      <c r="E9" s="1749">
        <v>2820</v>
      </c>
    </row>
    <row r="10" spans="1:10" ht="24" customHeight="1">
      <c r="A10" s="1764" t="s">
        <v>2526</v>
      </c>
      <c r="B10" s="1762">
        <v>90</v>
      </c>
      <c r="C10" s="1741">
        <v>3262.51</v>
      </c>
      <c r="D10" s="1750">
        <v>2960</v>
      </c>
      <c r="E10" s="1749">
        <v>3295</v>
      </c>
    </row>
    <row r="11" spans="1:10" ht="24" customHeight="1">
      <c r="A11" s="1764" t="s">
        <v>2527</v>
      </c>
      <c r="B11" s="1762">
        <v>105</v>
      </c>
      <c r="C11" s="1741">
        <v>3758.03</v>
      </c>
      <c r="D11" s="1750">
        <v>4030</v>
      </c>
      <c r="E11" s="1749">
        <v>3765</v>
      </c>
    </row>
    <row r="12" spans="1:10" ht="23.25" customHeight="1">
      <c r="A12" s="1764" t="s">
        <v>2528</v>
      </c>
      <c r="B12" s="1762">
        <v>110</v>
      </c>
      <c r="C12" s="1741">
        <v>3923.21</v>
      </c>
      <c r="D12" s="1750">
        <v>4200</v>
      </c>
      <c r="E12" s="1749">
        <v>3920</v>
      </c>
    </row>
    <row r="13" spans="1:10" ht="30">
      <c r="A13" s="1764" t="s">
        <v>2529</v>
      </c>
      <c r="B13" s="1762">
        <v>110</v>
      </c>
      <c r="C13" s="1741">
        <v>4104.8999999999996</v>
      </c>
      <c r="D13" s="1750">
        <v>4200</v>
      </c>
      <c r="E13" s="1749">
        <v>3920</v>
      </c>
    </row>
    <row r="14" spans="1:10" ht="24.75" customHeight="1">
      <c r="A14" s="1764" t="s">
        <v>2530</v>
      </c>
      <c r="B14" s="1762">
        <v>125</v>
      </c>
      <c r="C14" s="1741">
        <v>4418.7299999999996</v>
      </c>
      <c r="D14" s="1750">
        <v>4700</v>
      </c>
      <c r="E14" s="1749">
        <v>4390</v>
      </c>
    </row>
    <row r="15" spans="1:10" ht="24.75" customHeight="1">
      <c r="A15" s="1764" t="s">
        <v>2531</v>
      </c>
      <c r="B15" s="1762">
        <v>135</v>
      </c>
      <c r="C15" s="1741">
        <v>4749.08</v>
      </c>
      <c r="D15" s="1750">
        <v>5035</v>
      </c>
      <c r="E15" s="1749">
        <v>4700</v>
      </c>
    </row>
    <row r="16" spans="1:10" ht="21" customHeight="1">
      <c r="A16" s="1764" t="s">
        <v>2532</v>
      </c>
      <c r="B16" s="1762">
        <v>150</v>
      </c>
      <c r="C16" s="1741">
        <v>5244.61</v>
      </c>
      <c r="D16" s="1750">
        <v>5540</v>
      </c>
      <c r="E16" s="1749">
        <v>5170</v>
      </c>
    </row>
    <row r="17" spans="1:5" ht="20.25" customHeight="1">
      <c r="A17" s="1764" t="s">
        <v>2533</v>
      </c>
      <c r="B17" s="1762">
        <v>140</v>
      </c>
      <c r="C17" s="1741">
        <v>4914.26</v>
      </c>
      <c r="D17" s="1750">
        <v>5205</v>
      </c>
      <c r="E17" s="1749">
        <v>4860</v>
      </c>
    </row>
    <row r="18" spans="1:5" ht="21.75" customHeight="1">
      <c r="A18" s="1764" t="s">
        <v>2534</v>
      </c>
      <c r="B18" s="1762">
        <v>160</v>
      </c>
      <c r="C18" s="1741">
        <v>5574.96</v>
      </c>
      <c r="D18" s="1750">
        <v>5875</v>
      </c>
      <c r="E18" s="1749">
        <v>5485</v>
      </c>
    </row>
    <row r="19" spans="1:5" ht="21" customHeight="1">
      <c r="A19" s="1764" t="s">
        <v>2535</v>
      </c>
      <c r="B19" s="1762">
        <v>170</v>
      </c>
      <c r="C19" s="1741">
        <v>5905.31</v>
      </c>
      <c r="D19" s="1750">
        <v>6210</v>
      </c>
      <c r="E19" s="1749">
        <v>5795</v>
      </c>
    </row>
    <row r="20" spans="1:5" ht="19.5" customHeight="1">
      <c r="A20" s="1764" t="s">
        <v>2536</v>
      </c>
      <c r="B20" s="1762">
        <v>190</v>
      </c>
      <c r="C20" s="1741">
        <v>6566.01</v>
      </c>
      <c r="D20" s="1750">
        <v>6880</v>
      </c>
      <c r="E20" s="1749" t="s">
        <v>2519</v>
      </c>
    </row>
    <row r="21" spans="1:5">
      <c r="A21" s="1757"/>
      <c r="B21" s="1758"/>
      <c r="C21" s="1757"/>
      <c r="D21" s="1759"/>
      <c r="E21" s="1760" t="s">
        <v>2520</v>
      </c>
    </row>
    <row r="22" spans="1:5">
      <c r="A22" s="945"/>
      <c r="B22" s="1739"/>
      <c r="C22" s="945"/>
      <c r="D22" s="1740"/>
    </row>
    <row r="23" spans="1:5">
      <c r="A23" s="945"/>
      <c r="B23" s="1739"/>
      <c r="C23" s="945"/>
      <c r="D23" s="1740"/>
    </row>
    <row r="24" spans="1:5">
      <c r="A24" s="945"/>
      <c r="B24" s="1739"/>
      <c r="C24" s="945"/>
      <c r="D24" s="1740"/>
    </row>
    <row r="25" spans="1:5">
      <c r="A25" s="945"/>
      <c r="B25" s="1739"/>
      <c r="C25" s="945"/>
      <c r="D25" s="1740"/>
    </row>
    <row r="26" spans="1:5">
      <c r="A26" s="945"/>
      <c r="B26" s="1739"/>
      <c r="C26" s="945"/>
      <c r="D26" s="1740"/>
    </row>
    <row r="27" spans="1:5">
      <c r="A27" s="945"/>
      <c r="B27" s="1739"/>
      <c r="C27" s="945"/>
      <c r="D27" s="1740"/>
    </row>
    <row r="28" spans="1:5">
      <c r="A28" s="945"/>
      <c r="B28" s="1739"/>
      <c r="C28" s="945"/>
      <c r="D28" s="1740"/>
    </row>
    <row r="29" spans="1:5">
      <c r="A29" s="945"/>
      <c r="B29" s="1739"/>
      <c r="C29" s="945"/>
      <c r="D29" s="1740"/>
    </row>
    <row r="30" spans="1:5">
      <c r="A30" s="945"/>
      <c r="B30" s="1739"/>
      <c r="C30" s="945"/>
      <c r="D30" s="1740"/>
    </row>
    <row r="31" spans="1:5">
      <c r="A31" s="1742" t="s">
        <v>2512</v>
      </c>
      <c r="B31" s="945"/>
      <c r="C31" s="945"/>
      <c r="D31" s="1740"/>
    </row>
    <row r="32" spans="1:5">
      <c r="A32" s="945" t="s">
        <v>2513</v>
      </c>
      <c r="B32" s="945"/>
      <c r="C32" s="945"/>
      <c r="D32" s="1740"/>
    </row>
    <row r="33" spans="1:4" ht="15.75" thickBot="1">
      <c r="A33" s="1743" t="s">
        <v>2514</v>
      </c>
      <c r="B33" s="945"/>
      <c r="C33" s="945"/>
      <c r="D33" s="1740"/>
    </row>
    <row r="34" spans="1:4" ht="21" thickBot="1">
      <c r="A34" s="1744" t="s">
        <v>2515</v>
      </c>
      <c r="B34" s="1745" t="s">
        <v>2516</v>
      </c>
      <c r="C34" s="945"/>
      <c r="D34" s="1746">
        <v>89536104242</v>
      </c>
    </row>
    <row r="35" spans="1:4">
      <c r="A35" s="945"/>
      <c r="B35" s="1739"/>
      <c r="C35" s="945"/>
      <c r="D35" s="1740"/>
    </row>
    <row r="36" spans="1:4">
      <c r="A36" s="945"/>
      <c r="B36" s="1739"/>
      <c r="C36" s="945"/>
      <c r="D36" s="1740"/>
    </row>
  </sheetData>
  <customSheetViews>
    <customSheetView guid="{FBB3E572-A647-4B8C-96C7-F43FE4F7CAA8}" hiddenColumns="1">
      <selection activeCell="F11" sqref="F11"/>
      <pageMargins left="0.7" right="0.7" top="0.75" bottom="0.75" header="0.3" footer="0.3"/>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20.xml><?xml version="1.0" encoding="utf-8"?>
<worksheet xmlns="http://schemas.openxmlformats.org/spreadsheetml/2006/main" xmlns:r="http://schemas.openxmlformats.org/officeDocument/2006/relationships">
  <dimension ref="A1:E30"/>
  <sheetViews>
    <sheetView workbookViewId="0">
      <pane ySplit="2" topLeftCell="A3" activePane="bottomLeft" state="frozen"/>
      <selection pane="bottomLeft" activeCell="J33" sqref="J33"/>
    </sheetView>
  </sheetViews>
  <sheetFormatPr defaultRowHeight="15"/>
  <cols>
    <col min="1" max="1" width="28" customWidth="1"/>
    <col min="2" max="2" width="17.5703125" customWidth="1"/>
    <col min="3" max="3" width="12.85546875" customWidth="1"/>
    <col min="4" max="4" width="18.7109375" style="701" customWidth="1"/>
    <col min="5" max="5" width="15.5703125" hidden="1" customWidth="1"/>
  </cols>
  <sheetData>
    <row r="1" spans="1:5" ht="17.25" customHeight="1" thickBot="1"/>
    <row r="2" spans="1:5" ht="59.25" customHeight="1" thickBot="1">
      <c r="A2" s="660" t="s">
        <v>880</v>
      </c>
      <c r="B2" s="697" t="s">
        <v>881</v>
      </c>
      <c r="C2" s="698" t="s">
        <v>882</v>
      </c>
      <c r="D2" s="660" t="s">
        <v>1612</v>
      </c>
      <c r="E2" s="660" t="s">
        <v>926</v>
      </c>
    </row>
    <row r="3" spans="1:5" ht="15" customHeight="1">
      <c r="A3" s="661" t="s">
        <v>883</v>
      </c>
      <c r="B3" s="662" t="s">
        <v>884</v>
      </c>
      <c r="C3" s="663" t="s">
        <v>885</v>
      </c>
      <c r="D3" s="702">
        <f>E3*1.15</f>
        <v>53.331250000000004</v>
      </c>
      <c r="E3" s="675">
        <v>46.375000000000007</v>
      </c>
    </row>
    <row r="4" spans="1:5" ht="15" customHeight="1">
      <c r="A4" s="664" t="s">
        <v>886</v>
      </c>
      <c r="B4" s="665" t="s">
        <v>887</v>
      </c>
      <c r="C4" s="666" t="s">
        <v>885</v>
      </c>
      <c r="D4" s="703">
        <f t="shared" ref="D4:D30" si="0">E4*1.15</f>
        <v>67.670312500000009</v>
      </c>
      <c r="E4" s="676">
        <v>58.843750000000007</v>
      </c>
    </row>
    <row r="5" spans="1:5" ht="15" customHeight="1">
      <c r="A5" s="664" t="s">
        <v>888</v>
      </c>
      <c r="B5" s="665" t="s">
        <v>884</v>
      </c>
      <c r="C5" s="666" t="s">
        <v>885</v>
      </c>
      <c r="D5" s="703">
        <f>E5*1.15</f>
        <v>83.087499999999991</v>
      </c>
      <c r="E5" s="676">
        <v>72.25</v>
      </c>
    </row>
    <row r="6" spans="1:5" ht="15" customHeight="1">
      <c r="A6" s="664" t="s">
        <v>889</v>
      </c>
      <c r="B6" s="665" t="s">
        <v>890</v>
      </c>
      <c r="C6" s="666" t="s">
        <v>885</v>
      </c>
      <c r="D6" s="703">
        <f t="shared" si="0"/>
        <v>60.482812500000001</v>
      </c>
      <c r="E6" s="676">
        <v>52.593750000000007</v>
      </c>
    </row>
    <row r="7" spans="1:5" ht="15" customHeight="1">
      <c r="A7" s="664" t="s">
        <v>891</v>
      </c>
      <c r="B7" s="665" t="s">
        <v>890</v>
      </c>
      <c r="C7" s="666" t="s">
        <v>885</v>
      </c>
      <c r="D7" s="703">
        <f t="shared" si="0"/>
        <v>72.701562499999994</v>
      </c>
      <c r="E7" s="676">
        <v>63.21875</v>
      </c>
    </row>
    <row r="8" spans="1:5" ht="15" customHeight="1" thickBot="1">
      <c r="A8" s="667" t="s">
        <v>892</v>
      </c>
      <c r="B8" s="668" t="s">
        <v>890</v>
      </c>
      <c r="C8" s="669" t="s">
        <v>885</v>
      </c>
      <c r="D8" s="704">
        <f t="shared" si="0"/>
        <v>92.74270833333334</v>
      </c>
      <c r="E8" s="678">
        <v>80.645833333333343</v>
      </c>
    </row>
    <row r="9" spans="1:5" ht="15" customHeight="1">
      <c r="A9" s="673" t="s">
        <v>893</v>
      </c>
      <c r="B9" s="670" t="s">
        <v>894</v>
      </c>
      <c r="C9" s="663" t="s">
        <v>885</v>
      </c>
      <c r="D9" s="702">
        <f t="shared" si="0"/>
        <v>77.744791666666671</v>
      </c>
      <c r="E9" s="675">
        <v>67.604166666666671</v>
      </c>
    </row>
    <row r="10" spans="1:5" ht="15" customHeight="1">
      <c r="A10" s="671" t="s">
        <v>895</v>
      </c>
      <c r="B10" s="672" t="s">
        <v>894</v>
      </c>
      <c r="C10" s="666" t="s">
        <v>885</v>
      </c>
      <c r="D10" s="703">
        <f t="shared" si="0"/>
        <v>100.02604166666667</v>
      </c>
      <c r="E10" s="699">
        <v>86.979166666666671</v>
      </c>
    </row>
    <row r="11" spans="1:5" ht="15" customHeight="1">
      <c r="A11" s="671" t="s">
        <v>896</v>
      </c>
      <c r="B11" s="672" t="s">
        <v>890</v>
      </c>
      <c r="C11" s="666" t="s">
        <v>885</v>
      </c>
      <c r="D11" s="703">
        <f t="shared" si="0"/>
        <v>92.838541666666671</v>
      </c>
      <c r="E11" s="699">
        <v>80.729166666666671</v>
      </c>
    </row>
    <row r="12" spans="1:5" ht="15" customHeight="1" thickBot="1">
      <c r="A12" s="674" t="s">
        <v>897</v>
      </c>
      <c r="B12" s="677" t="s">
        <v>890</v>
      </c>
      <c r="C12" s="669" t="s">
        <v>885</v>
      </c>
      <c r="D12" s="704">
        <f t="shared" si="0"/>
        <v>110.14843749999999</v>
      </c>
      <c r="E12" s="700">
        <v>95.78125</v>
      </c>
    </row>
    <row r="13" spans="1:5" ht="15" customHeight="1">
      <c r="A13" s="673" t="s">
        <v>898</v>
      </c>
      <c r="B13" s="670" t="s">
        <v>899</v>
      </c>
      <c r="C13" s="663" t="s">
        <v>900</v>
      </c>
      <c r="D13" s="702">
        <f t="shared" si="0"/>
        <v>94.982812500000009</v>
      </c>
      <c r="E13" s="675">
        <v>82.593750000000014</v>
      </c>
    </row>
    <row r="14" spans="1:5" ht="15" customHeight="1">
      <c r="A14" s="671" t="s">
        <v>901</v>
      </c>
      <c r="B14" s="672" t="s">
        <v>899</v>
      </c>
      <c r="C14" s="666" t="s">
        <v>900</v>
      </c>
      <c r="D14" s="703">
        <f t="shared" si="0"/>
        <v>116.71302083333333</v>
      </c>
      <c r="E14" s="676">
        <v>101.48958333333334</v>
      </c>
    </row>
    <row r="15" spans="1:5" ht="15" customHeight="1">
      <c r="A15" s="671" t="s">
        <v>902</v>
      </c>
      <c r="B15" s="672" t="s">
        <v>899</v>
      </c>
      <c r="C15" s="666" t="s">
        <v>900</v>
      </c>
      <c r="D15" s="703">
        <f t="shared" si="0"/>
        <v>123.57708333333332</v>
      </c>
      <c r="E15" s="676">
        <v>107.45833333333333</v>
      </c>
    </row>
    <row r="16" spans="1:5" ht="15" customHeight="1">
      <c r="A16" s="671" t="s">
        <v>903</v>
      </c>
      <c r="B16" s="665" t="s">
        <v>890</v>
      </c>
      <c r="C16" s="666" t="s">
        <v>900</v>
      </c>
      <c r="D16" s="703">
        <f t="shared" si="0"/>
        <v>105.29687500000001</v>
      </c>
      <c r="E16" s="676">
        <v>91.562500000000014</v>
      </c>
    </row>
    <row r="17" spans="1:5" ht="15" customHeight="1">
      <c r="A17" s="671" t="s">
        <v>904</v>
      </c>
      <c r="B17" s="665" t="s">
        <v>890</v>
      </c>
      <c r="C17" s="666" t="s">
        <v>900</v>
      </c>
      <c r="D17" s="703">
        <f t="shared" si="0"/>
        <v>125.78124999999999</v>
      </c>
      <c r="E17" s="676">
        <v>109.375</v>
      </c>
    </row>
    <row r="18" spans="1:5" ht="15" customHeight="1" thickBot="1">
      <c r="A18" s="674" t="s">
        <v>905</v>
      </c>
      <c r="B18" s="668" t="s">
        <v>890</v>
      </c>
      <c r="C18" s="669" t="s">
        <v>900</v>
      </c>
      <c r="D18" s="704">
        <f t="shared" si="0"/>
        <v>135.79583333333332</v>
      </c>
      <c r="E18" s="678">
        <v>118.08333333333334</v>
      </c>
    </row>
    <row r="19" spans="1:5" ht="15" customHeight="1">
      <c r="A19" s="673" t="s">
        <v>906</v>
      </c>
      <c r="B19" s="670" t="s">
        <v>907</v>
      </c>
      <c r="C19" s="663" t="s">
        <v>908</v>
      </c>
      <c r="D19" s="702">
        <f t="shared" si="0"/>
        <v>126.65572916666666</v>
      </c>
      <c r="E19" s="675">
        <v>110.13541666666667</v>
      </c>
    </row>
    <row r="20" spans="1:5" ht="15" customHeight="1">
      <c r="A20" s="671" t="s">
        <v>909</v>
      </c>
      <c r="B20" s="672" t="s">
        <v>907</v>
      </c>
      <c r="C20" s="666" t="s">
        <v>908</v>
      </c>
      <c r="D20" s="703">
        <f t="shared" si="0"/>
        <v>152.63854166666667</v>
      </c>
      <c r="E20" s="676">
        <v>132.72916666666669</v>
      </c>
    </row>
    <row r="21" spans="1:5" ht="15" customHeight="1">
      <c r="A21" s="671" t="s">
        <v>910</v>
      </c>
      <c r="B21" s="672" t="s">
        <v>907</v>
      </c>
      <c r="C21" s="666" t="s">
        <v>908</v>
      </c>
      <c r="D21" s="703">
        <f t="shared" si="0"/>
        <v>161.77864583333334</v>
      </c>
      <c r="E21" s="676">
        <v>140.67708333333334</v>
      </c>
    </row>
    <row r="22" spans="1:5" ht="15" customHeight="1">
      <c r="A22" s="671" t="s">
        <v>911</v>
      </c>
      <c r="B22" s="672" t="s">
        <v>887</v>
      </c>
      <c r="C22" s="666" t="s">
        <v>908</v>
      </c>
      <c r="D22" s="703">
        <f t="shared" si="0"/>
        <v>147.72708333333333</v>
      </c>
      <c r="E22" s="676">
        <v>128.45833333333334</v>
      </c>
    </row>
    <row r="23" spans="1:5" ht="15" customHeight="1">
      <c r="A23" s="671" t="s">
        <v>912</v>
      </c>
      <c r="B23" s="672" t="s">
        <v>887</v>
      </c>
      <c r="C23" s="666" t="s">
        <v>908</v>
      </c>
      <c r="D23" s="703">
        <f t="shared" si="0"/>
        <v>174.78802083333332</v>
      </c>
      <c r="E23" s="676">
        <v>151.98958333333334</v>
      </c>
    </row>
    <row r="24" spans="1:5" ht="15" customHeight="1" thickBot="1">
      <c r="A24" s="674" t="s">
        <v>913</v>
      </c>
      <c r="B24" s="677" t="s">
        <v>887</v>
      </c>
      <c r="C24" s="669" t="s">
        <v>908</v>
      </c>
      <c r="D24" s="704">
        <f t="shared" si="0"/>
        <v>185.10208333333333</v>
      </c>
      <c r="E24" s="678">
        <v>160.95833333333334</v>
      </c>
    </row>
    <row r="25" spans="1:5" ht="15" customHeight="1">
      <c r="A25" s="679" t="s">
        <v>914</v>
      </c>
      <c r="B25" s="680" t="s">
        <v>915</v>
      </c>
      <c r="C25" s="663"/>
      <c r="D25" s="702">
        <f t="shared" si="0"/>
        <v>747.49999999999989</v>
      </c>
      <c r="E25" s="681">
        <v>650</v>
      </c>
    </row>
    <row r="26" spans="1:5" ht="15" customHeight="1">
      <c r="A26" s="682" t="s">
        <v>916</v>
      </c>
      <c r="B26" s="683" t="s">
        <v>917</v>
      </c>
      <c r="C26" s="684" t="s">
        <v>918</v>
      </c>
      <c r="D26" s="703">
        <f t="shared" si="0"/>
        <v>1529.4999999999998</v>
      </c>
      <c r="E26" s="685">
        <v>1330</v>
      </c>
    </row>
    <row r="27" spans="1:5" ht="15" customHeight="1">
      <c r="A27" s="682" t="s">
        <v>919</v>
      </c>
      <c r="B27" s="683" t="s">
        <v>920</v>
      </c>
      <c r="C27" s="684" t="s">
        <v>918</v>
      </c>
      <c r="D27" s="703">
        <f t="shared" si="0"/>
        <v>1523.7499999999998</v>
      </c>
      <c r="E27" s="685">
        <v>1325</v>
      </c>
    </row>
    <row r="28" spans="1:5" ht="15" customHeight="1">
      <c r="A28" s="686" t="s">
        <v>921</v>
      </c>
      <c r="B28" s="672" t="s">
        <v>917</v>
      </c>
      <c r="C28" s="687" t="s">
        <v>918</v>
      </c>
      <c r="D28" s="703">
        <f t="shared" si="0"/>
        <v>2070</v>
      </c>
      <c r="E28" s="688">
        <v>1800</v>
      </c>
    </row>
    <row r="29" spans="1:5" ht="15" customHeight="1">
      <c r="A29" s="689" t="s">
        <v>922</v>
      </c>
      <c r="B29" s="690" t="s">
        <v>923</v>
      </c>
      <c r="C29" s="691" t="s">
        <v>918</v>
      </c>
      <c r="D29" s="703">
        <f t="shared" si="0"/>
        <v>1569.7499999999998</v>
      </c>
      <c r="E29" s="692">
        <v>1365</v>
      </c>
    </row>
    <row r="30" spans="1:5" ht="15" customHeight="1" thickBot="1">
      <c r="A30" s="693" t="s">
        <v>924</v>
      </c>
      <c r="B30" s="694" t="s">
        <v>925</v>
      </c>
      <c r="C30" s="695"/>
      <c r="D30" s="704">
        <f t="shared" si="0"/>
        <v>816.49999999999989</v>
      </c>
      <c r="E30" s="696">
        <v>710</v>
      </c>
    </row>
  </sheetData>
  <customSheetViews>
    <customSheetView guid="{FBB3E572-A647-4B8C-96C7-F43FE4F7CAA8}" showPageBreaks="1" hiddenColumns="1">
      <pane ySplit="2" topLeftCell="A3" activePane="bottomLeft" state="frozen"/>
      <selection pane="bottomLeft" activeCell="J33" sqref="J33"/>
      <pageMargins left="0.7" right="0.7" top="0.75" bottom="0.75" header="0.3" footer="0.3"/>
      <pageSetup paperSize="9" orientation="portrait" horizontalDpi="0" verticalDpi="0" r:id="rId1"/>
    </customSheetView>
    <customSheetView guid="{900EF7B2-0D63-4DE2-9CFC-2D2B3788802C}" hiddenColumns="1">
      <pane ySplit="2" topLeftCell="A3" activePane="bottomLeft" state="frozen"/>
      <selection pane="bottomLeft" activeCell="J33" sqref="J33"/>
      <pageMargins left="0.7" right="0.7" top="0.75" bottom="0.75" header="0.3" footer="0.3"/>
      <pageSetup paperSize="9" orientation="portrait" horizontalDpi="0" verticalDpi="0" r:id="rId2"/>
    </customSheetView>
    <customSheetView guid="{CC6D6007-EFDE-464F-BD7C-A67043AC5D5C}" hiddenColumns="1">
      <pane ySplit="2" topLeftCell="A12" activePane="bottomLeft" state="frozen"/>
      <selection pane="bottomLeft" activeCell="B17" sqref="B17"/>
      <pageMargins left="0.7" right="0.7" top="0.75" bottom="0.75" header="0.3" footer="0.3"/>
      <pageSetup paperSize="9" orientation="portrait" horizontalDpi="0" verticalDpi="0" r:id="rId3"/>
    </customSheetView>
    <customSheetView guid="{C0FE86CC-5BB4-4265-957F-F51B909B3E81}" showPageBreaks="1" hiddenColumns="1">
      <pane ySplit="2" topLeftCell="A6" activePane="bottomLeft" state="frozen"/>
      <selection pane="bottomLeft" activeCell="H11" sqref="H11"/>
      <pageMargins left="0.7" right="0.7" top="0.75" bottom="0.75" header="0.3" footer="0.3"/>
      <pageSetup paperSize="9" orientation="portrait" verticalDpi="0" r:id="rId4"/>
    </customSheetView>
  </customSheetViews>
  <pageMargins left="0.7" right="0.7" top="0.75" bottom="0.75" header="0.3" footer="0.3"/>
  <pageSetup paperSize="9" orientation="portrait" horizontalDpi="0" verticalDpi="0" r:id="rId5"/>
</worksheet>
</file>

<file path=xl/worksheets/sheet21.xml><?xml version="1.0" encoding="utf-8"?>
<worksheet xmlns="http://schemas.openxmlformats.org/spreadsheetml/2006/main" xmlns:r="http://schemas.openxmlformats.org/officeDocument/2006/relationships">
  <dimension ref="A1:E41"/>
  <sheetViews>
    <sheetView workbookViewId="0">
      <selection activeCell="E6" sqref="E6:E14"/>
    </sheetView>
  </sheetViews>
  <sheetFormatPr defaultRowHeight="15"/>
  <cols>
    <col min="1" max="1" width="31.5703125" customWidth="1"/>
    <col min="2" max="2" width="29.7109375" customWidth="1"/>
    <col min="3" max="3" width="28.85546875" customWidth="1"/>
    <col min="5" max="5" width="19.28515625" customWidth="1"/>
  </cols>
  <sheetData>
    <row r="1" spans="1:5" ht="15.75" thickBot="1"/>
    <row r="2" spans="1:5" ht="64.5" customHeight="1" thickBot="1">
      <c r="A2" s="763" t="s">
        <v>927</v>
      </c>
      <c r="B2" s="764"/>
      <c r="C2" s="764"/>
      <c r="D2" s="765"/>
      <c r="E2" s="766"/>
    </row>
    <row r="3" spans="1:5" ht="15.75">
      <c r="A3" s="711" t="s">
        <v>934</v>
      </c>
      <c r="B3" s="1718" t="s">
        <v>936</v>
      </c>
      <c r="C3" s="714" t="s">
        <v>937</v>
      </c>
      <c r="D3" s="1718" t="s">
        <v>940</v>
      </c>
      <c r="E3" s="717" t="s">
        <v>941</v>
      </c>
    </row>
    <row r="4" spans="1:5" ht="21" customHeight="1">
      <c r="A4" s="712" t="s">
        <v>935</v>
      </c>
      <c r="B4" s="1719"/>
      <c r="C4" s="715" t="s">
        <v>938</v>
      </c>
      <c r="D4" s="1719"/>
      <c r="E4" s="718" t="s">
        <v>942</v>
      </c>
    </row>
    <row r="5" spans="1:5" ht="19.5" customHeight="1" thickBot="1">
      <c r="A5" s="713"/>
      <c r="B5" s="1720"/>
      <c r="C5" s="716" t="s">
        <v>939</v>
      </c>
      <c r="D5" s="1720"/>
      <c r="E5" s="719"/>
    </row>
    <row r="6" spans="1:5" ht="91.5" customHeight="1">
      <c r="A6" s="1721"/>
      <c r="B6" s="720"/>
      <c r="C6" s="727" t="s">
        <v>948</v>
      </c>
      <c r="D6" s="729"/>
      <c r="E6" s="1724">
        <v>312</v>
      </c>
    </row>
    <row r="7" spans="1:5" ht="75.75" customHeight="1">
      <c r="A7" s="1722"/>
      <c r="B7" s="721" t="s">
        <v>943</v>
      </c>
      <c r="C7" s="723"/>
      <c r="D7" s="730"/>
      <c r="E7" s="1725"/>
    </row>
    <row r="8" spans="1:5" ht="35.25" customHeight="1">
      <c r="A8" s="1722"/>
      <c r="B8" s="722"/>
      <c r="C8" s="723" t="s">
        <v>949</v>
      </c>
      <c r="D8" s="730" t="s">
        <v>950</v>
      </c>
      <c r="E8" s="1725"/>
    </row>
    <row r="9" spans="1:5" ht="37.5" customHeight="1">
      <c r="A9" s="1722"/>
      <c r="B9" s="723" t="s">
        <v>944</v>
      </c>
      <c r="C9" s="720"/>
      <c r="D9" s="729"/>
      <c r="E9" s="1725"/>
    </row>
    <row r="10" spans="1:5" ht="15.75">
      <c r="A10" s="1722"/>
      <c r="B10" s="723" t="s">
        <v>945</v>
      </c>
      <c r="C10" s="728"/>
      <c r="D10" s="729" t="s">
        <v>951</v>
      </c>
      <c r="E10" s="1725"/>
    </row>
    <row r="11" spans="1:5">
      <c r="A11" s="1722"/>
      <c r="B11" s="723" t="s">
        <v>946</v>
      </c>
      <c r="C11" s="725"/>
      <c r="D11" s="731"/>
      <c r="E11" s="1725"/>
    </row>
    <row r="12" spans="1:5">
      <c r="A12" s="1722"/>
      <c r="B12" s="724"/>
      <c r="C12" s="725"/>
      <c r="D12" s="731"/>
      <c r="E12" s="1725"/>
    </row>
    <row r="13" spans="1:5">
      <c r="A13" s="1722"/>
      <c r="B13" s="724"/>
      <c r="C13" s="725"/>
      <c r="D13" s="731"/>
      <c r="E13" s="1725"/>
    </row>
    <row r="14" spans="1:5" ht="34.5" customHeight="1" thickBot="1">
      <c r="A14" s="1722"/>
      <c r="B14" s="723" t="s">
        <v>947</v>
      </c>
      <c r="C14" s="725"/>
      <c r="D14" s="732"/>
      <c r="E14" s="1726"/>
    </row>
    <row r="15" spans="1:5">
      <c r="A15" s="1722"/>
      <c r="B15" s="724"/>
      <c r="C15" s="725"/>
      <c r="D15" s="733"/>
      <c r="E15" s="1724">
        <v>167</v>
      </c>
    </row>
    <row r="16" spans="1:5">
      <c r="A16" s="1722"/>
      <c r="B16" s="725"/>
      <c r="C16" s="725"/>
      <c r="D16" s="730"/>
      <c r="E16" s="1725"/>
    </row>
    <row r="17" spans="1:5" ht="35.25" customHeight="1" thickBot="1">
      <c r="A17" s="1723"/>
      <c r="B17" s="726"/>
      <c r="C17" s="726"/>
      <c r="D17" s="734" t="s">
        <v>952</v>
      </c>
      <c r="E17" s="1726"/>
    </row>
    <row r="18" spans="1:5" ht="18.75">
      <c r="A18" s="1715"/>
      <c r="B18" s="735"/>
      <c r="C18" s="736"/>
      <c r="D18" s="743"/>
      <c r="E18" s="746" t="s">
        <v>959</v>
      </c>
    </row>
    <row r="19" spans="1:5" ht="18.75">
      <c r="A19" s="1716"/>
      <c r="B19" s="736" t="s">
        <v>953</v>
      </c>
      <c r="C19" s="736"/>
      <c r="D19" s="743" t="s">
        <v>958</v>
      </c>
      <c r="E19" s="747">
        <v>318</v>
      </c>
    </row>
    <row r="20" spans="1:5" ht="87.75" customHeight="1">
      <c r="A20" s="1716"/>
      <c r="B20" s="737" t="s">
        <v>954</v>
      </c>
      <c r="C20" s="736"/>
      <c r="D20" s="744"/>
      <c r="E20" s="748"/>
    </row>
    <row r="21" spans="1:5" ht="18.75">
      <c r="A21" s="1716"/>
      <c r="B21" s="737"/>
      <c r="C21" s="736" t="s">
        <v>956</v>
      </c>
      <c r="D21" s="744"/>
      <c r="E21" s="749"/>
    </row>
    <row r="22" spans="1:5" ht="20.25">
      <c r="A22" s="1716"/>
      <c r="B22" s="737"/>
      <c r="C22" s="740"/>
      <c r="D22" s="744"/>
      <c r="E22" s="746"/>
    </row>
    <row r="23" spans="1:5">
      <c r="A23" s="1716"/>
      <c r="B23" s="738"/>
      <c r="C23" s="735" t="s">
        <v>957</v>
      </c>
      <c r="D23" s="744"/>
      <c r="E23" s="744"/>
    </row>
    <row r="24" spans="1:5">
      <c r="A24" s="1716"/>
      <c r="B24" s="735" t="s">
        <v>955</v>
      </c>
      <c r="C24" s="735"/>
      <c r="D24" s="744"/>
      <c r="E24" s="744"/>
    </row>
    <row r="25" spans="1:5">
      <c r="A25" s="1716"/>
      <c r="B25" s="735"/>
      <c r="C25" s="735"/>
      <c r="D25" s="744"/>
      <c r="E25" s="744"/>
    </row>
    <row r="26" spans="1:5">
      <c r="A26" s="1716"/>
      <c r="B26" s="735"/>
      <c r="C26" s="741"/>
      <c r="D26" s="744"/>
      <c r="E26" s="744"/>
    </row>
    <row r="27" spans="1:5" ht="15.75" thickBot="1">
      <c r="A27" s="1717"/>
      <c r="B27" s="739"/>
      <c r="C27" s="742"/>
      <c r="D27" s="745"/>
      <c r="E27" s="745"/>
    </row>
    <row r="28" spans="1:5" ht="18.75">
      <c r="A28" s="1727"/>
      <c r="B28" s="750"/>
      <c r="C28" s="755"/>
      <c r="D28" s="1730" t="s">
        <v>950</v>
      </c>
      <c r="E28" s="1733">
        <v>329</v>
      </c>
    </row>
    <row r="29" spans="1:5" ht="18.75">
      <c r="A29" s="1728"/>
      <c r="B29" s="750"/>
      <c r="C29" s="756" t="s">
        <v>948</v>
      </c>
      <c r="D29" s="1731"/>
      <c r="E29" s="1734"/>
    </row>
    <row r="30" spans="1:5" ht="18.75">
      <c r="A30" s="1728"/>
      <c r="B30" s="750"/>
      <c r="C30" s="757"/>
      <c r="D30" s="1731"/>
      <c r="E30" s="1734"/>
    </row>
    <row r="31" spans="1:5" ht="38.25" thickBot="1">
      <c r="A31" s="1728"/>
      <c r="B31" s="750" t="s">
        <v>960</v>
      </c>
      <c r="C31" s="757" t="s">
        <v>949</v>
      </c>
      <c r="D31" s="1732"/>
      <c r="E31" s="1735"/>
    </row>
    <row r="32" spans="1:5" ht="19.5" thickBot="1">
      <c r="A32" s="1728"/>
      <c r="B32" s="751"/>
      <c r="C32" s="758"/>
      <c r="D32" s="759" t="s">
        <v>952</v>
      </c>
      <c r="E32" s="760">
        <v>165</v>
      </c>
    </row>
    <row r="33" spans="1:5" ht="15.75">
      <c r="A33" s="1728"/>
      <c r="B33" s="752" t="s">
        <v>961</v>
      </c>
      <c r="C33" s="756" t="s">
        <v>962</v>
      </c>
      <c r="D33" s="1730" t="s">
        <v>950</v>
      </c>
      <c r="E33" s="1733">
        <v>322</v>
      </c>
    </row>
    <row r="34" spans="1:5" ht="15.75">
      <c r="A34" s="1728"/>
      <c r="B34" s="753"/>
      <c r="C34" s="756" t="s">
        <v>963</v>
      </c>
      <c r="D34" s="1731"/>
      <c r="E34" s="1734"/>
    </row>
    <row r="35" spans="1:5" ht="15.75">
      <c r="A35" s="1728"/>
      <c r="B35" s="753"/>
      <c r="C35" s="761" t="s">
        <v>964</v>
      </c>
      <c r="D35" s="1731"/>
      <c r="E35" s="1734"/>
    </row>
    <row r="36" spans="1:5">
      <c r="A36" s="1728"/>
      <c r="B36" s="753"/>
      <c r="C36" s="757" t="s">
        <v>957</v>
      </c>
      <c r="D36" s="1731"/>
      <c r="E36" s="1734"/>
    </row>
    <row r="37" spans="1:5" ht="15.75" thickBot="1">
      <c r="A37" s="1728"/>
      <c r="B37" s="753"/>
      <c r="C37" s="762"/>
      <c r="D37" s="1732"/>
      <c r="E37" s="1735"/>
    </row>
    <row r="38" spans="1:5">
      <c r="A38" s="1728"/>
      <c r="B38" s="753"/>
      <c r="C38" s="755"/>
      <c r="D38" s="1730" t="s">
        <v>950</v>
      </c>
      <c r="E38" s="1733">
        <v>307</v>
      </c>
    </row>
    <row r="39" spans="1:5" ht="15.75">
      <c r="A39" s="1728"/>
      <c r="B39" s="753"/>
      <c r="C39" s="756" t="s">
        <v>962</v>
      </c>
      <c r="D39" s="1731"/>
      <c r="E39" s="1734"/>
    </row>
    <row r="40" spans="1:5" ht="16.5" thickBot="1">
      <c r="A40" s="1728"/>
      <c r="B40" s="753"/>
      <c r="C40" s="756" t="s">
        <v>965</v>
      </c>
      <c r="D40" s="1732"/>
      <c r="E40" s="1735"/>
    </row>
    <row r="41" spans="1:5" ht="19.5" thickBot="1">
      <c r="A41" s="1729"/>
      <c r="B41" s="754"/>
      <c r="C41" s="762"/>
      <c r="D41" s="759" t="s">
        <v>952</v>
      </c>
      <c r="E41" s="760">
        <v>154</v>
      </c>
    </row>
  </sheetData>
  <customSheetViews>
    <customSheetView guid="{FBB3E572-A647-4B8C-96C7-F43FE4F7CAA8}">
      <selection activeCell="E6" sqref="E6:E14"/>
      <pageMargins left="0.7" right="0.7" top="0.75" bottom="0.75" header="0.3" footer="0.3"/>
    </customSheetView>
    <customSheetView guid="{900EF7B2-0D63-4DE2-9CFC-2D2B3788802C}" topLeftCell="A16">
      <selection activeCell="E6" sqref="E6:E14"/>
      <pageMargins left="0.7" right="0.7" top="0.75" bottom="0.75" header="0.3" footer="0.3"/>
    </customSheetView>
    <customSheetView guid="{CC6D6007-EFDE-464F-BD7C-A67043AC5D5C}" hiddenRows="1">
      <selection activeCell="I20" sqref="I20"/>
      <pageMargins left="0.7" right="0.7" top="0.75" bottom="0.75" header="0.3" footer="0.3"/>
      <pageSetup paperSize="9" orientation="portrait" horizontalDpi="0" verticalDpi="0" r:id="rId1"/>
    </customSheetView>
    <customSheetView guid="{C0FE86CC-5BB4-4265-957F-F51B909B3E81}">
      <selection activeCell="G35" sqref="G35"/>
      <pageMargins left="0.7" right="0.7" top="0.75" bottom="0.75" header="0.3" footer="0.3"/>
    </customSheetView>
  </customSheetViews>
  <mergeCells count="13">
    <mergeCell ref="A28:A41"/>
    <mergeCell ref="D28:D31"/>
    <mergeCell ref="E28:E31"/>
    <mergeCell ref="D33:D37"/>
    <mergeCell ref="E33:E37"/>
    <mergeCell ref="D38:D40"/>
    <mergeCell ref="E38:E40"/>
    <mergeCell ref="A18:A27"/>
    <mergeCell ref="B3:B5"/>
    <mergeCell ref="D3:D5"/>
    <mergeCell ref="A6:A17"/>
    <mergeCell ref="E6:E14"/>
    <mergeCell ref="E15:E17"/>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dimension ref="A1:E57"/>
  <sheetViews>
    <sheetView workbookViewId="0">
      <selection activeCell="G14" sqref="G14"/>
    </sheetView>
  </sheetViews>
  <sheetFormatPr defaultRowHeight="15"/>
  <cols>
    <col min="1" max="1" width="8.7109375" customWidth="1"/>
    <col min="2" max="2" width="69.42578125" customWidth="1"/>
    <col min="3" max="3" width="0.28515625" hidden="1" customWidth="1"/>
    <col min="4" max="4" width="9.42578125" style="776" customWidth="1"/>
    <col min="5" max="5" width="10.85546875" style="776" customWidth="1"/>
  </cols>
  <sheetData>
    <row r="1" spans="1:5" ht="45.75" customHeight="1" thickBot="1">
      <c r="A1" s="777" t="s">
        <v>1013</v>
      </c>
      <c r="B1" s="777"/>
      <c r="C1" s="777"/>
      <c r="D1" s="778"/>
      <c r="E1" s="778"/>
    </row>
    <row r="2" spans="1:5" ht="15.75" thickBot="1">
      <c r="D2" s="773" t="s">
        <v>1011</v>
      </c>
      <c r="E2" s="773" t="s">
        <v>1012</v>
      </c>
    </row>
    <row r="3" spans="1:5" ht="18" customHeight="1">
      <c r="A3" s="767" t="s">
        <v>966</v>
      </c>
      <c r="B3" s="767" t="s">
        <v>967</v>
      </c>
      <c r="C3" s="767" t="s">
        <v>968</v>
      </c>
      <c r="D3" s="774" t="s">
        <v>968</v>
      </c>
      <c r="E3" s="774" t="s">
        <v>968</v>
      </c>
    </row>
    <row r="4" spans="1:5" ht="14.1" customHeight="1">
      <c r="A4" s="772"/>
      <c r="B4" s="883" t="s">
        <v>1124</v>
      </c>
      <c r="C4" s="884"/>
      <c r="D4" s="885">
        <v>252.5</v>
      </c>
      <c r="E4" s="885">
        <v>247.2</v>
      </c>
    </row>
    <row r="5" spans="1:5" ht="14.1" customHeight="1">
      <c r="A5" s="772"/>
      <c r="B5" s="883" t="s">
        <v>1125</v>
      </c>
      <c r="C5" s="884"/>
      <c r="D5" s="885">
        <v>275.2</v>
      </c>
      <c r="E5" s="885">
        <v>269.5</v>
      </c>
    </row>
    <row r="6" spans="1:5" ht="14.1" customHeight="1">
      <c r="A6" s="772"/>
      <c r="B6" s="883" t="s">
        <v>1126</v>
      </c>
      <c r="C6" s="884"/>
      <c r="D6" s="885">
        <v>336.8</v>
      </c>
      <c r="E6" s="885">
        <v>329.8</v>
      </c>
    </row>
    <row r="7" spans="1:5" ht="14.1" customHeight="1">
      <c r="A7" s="772"/>
      <c r="B7" s="883" t="s">
        <v>1127</v>
      </c>
      <c r="C7" s="884"/>
      <c r="D7" s="885">
        <v>368.1</v>
      </c>
      <c r="E7" s="885">
        <v>358.3</v>
      </c>
    </row>
    <row r="8" spans="1:5" ht="14.1" customHeight="1">
      <c r="A8" s="772"/>
      <c r="B8" s="883" t="s">
        <v>1128</v>
      </c>
      <c r="C8" s="884"/>
      <c r="D8" s="885">
        <v>385.8</v>
      </c>
      <c r="E8" s="885">
        <v>377.7</v>
      </c>
    </row>
    <row r="9" spans="1:5" ht="14.1" customHeight="1">
      <c r="A9" s="772"/>
      <c r="B9" s="883" t="s">
        <v>1129</v>
      </c>
      <c r="C9" s="884"/>
      <c r="D9" s="885">
        <v>400</v>
      </c>
      <c r="E9" s="885">
        <v>391.1</v>
      </c>
    </row>
    <row r="10" spans="1:5" ht="14.1" customHeight="1">
      <c r="A10" s="772"/>
      <c r="B10" s="883" t="s">
        <v>1130</v>
      </c>
      <c r="C10" s="884"/>
      <c r="D10" s="885">
        <v>511.4</v>
      </c>
      <c r="E10" s="885">
        <v>500.6</v>
      </c>
    </row>
    <row r="11" spans="1:5" ht="14.1" customHeight="1">
      <c r="A11" s="772"/>
      <c r="B11" s="883" t="s">
        <v>1131</v>
      </c>
      <c r="C11" s="884"/>
      <c r="D11" s="882">
        <v>414.5</v>
      </c>
      <c r="E11" s="885">
        <v>405.8</v>
      </c>
    </row>
    <row r="12" spans="1:5" ht="14.1" customHeight="1">
      <c r="A12" s="772"/>
      <c r="B12" s="883" t="s">
        <v>1132</v>
      </c>
      <c r="C12" s="884"/>
      <c r="D12" s="885">
        <v>497.5</v>
      </c>
      <c r="E12" s="885">
        <v>486.9</v>
      </c>
    </row>
    <row r="13" spans="1:5" ht="14.1" customHeight="1">
      <c r="A13" s="772"/>
      <c r="B13" s="883" t="s">
        <v>1133</v>
      </c>
      <c r="C13" s="884"/>
      <c r="D13" s="885">
        <v>506.7</v>
      </c>
      <c r="E13" s="885">
        <v>496.1</v>
      </c>
    </row>
    <row r="14" spans="1:5" ht="14.1" customHeight="1">
      <c r="A14" s="772"/>
      <c r="B14" s="883" t="s">
        <v>1134</v>
      </c>
      <c r="C14" s="884"/>
      <c r="D14" s="885">
        <v>608.1</v>
      </c>
      <c r="E14" s="885">
        <v>595.20000000000005</v>
      </c>
    </row>
    <row r="15" spans="1:5" ht="14.1" customHeight="1">
      <c r="A15" s="769"/>
      <c r="B15" s="770" t="s">
        <v>969</v>
      </c>
      <c r="C15" s="771">
        <v>1004.5</v>
      </c>
      <c r="D15" s="775">
        <v>1190</v>
      </c>
      <c r="E15" s="775">
        <f>C15*1.08</f>
        <v>1084.8600000000001</v>
      </c>
    </row>
    <row r="16" spans="1:5" ht="14.1" customHeight="1">
      <c r="A16" s="769"/>
      <c r="B16" s="770" t="s">
        <v>970</v>
      </c>
      <c r="C16" s="771">
        <v>335.43</v>
      </c>
      <c r="D16" s="775">
        <f t="shared" ref="D16:D57" si="0">C16*1.12</f>
        <v>375.68160000000006</v>
      </c>
      <c r="E16" s="775">
        <f t="shared" ref="E16:E57" si="1">C16*1.08</f>
        <v>362.26440000000002</v>
      </c>
    </row>
    <row r="17" spans="1:5" ht="14.1" customHeight="1">
      <c r="A17" s="769"/>
      <c r="B17" s="770" t="s">
        <v>971</v>
      </c>
      <c r="C17" s="771">
        <v>324.73</v>
      </c>
      <c r="D17" s="775">
        <f t="shared" si="0"/>
        <v>363.69760000000008</v>
      </c>
      <c r="E17" s="775">
        <f t="shared" si="1"/>
        <v>350.70840000000004</v>
      </c>
    </row>
    <row r="18" spans="1:5" ht="14.1" customHeight="1">
      <c r="A18" s="769"/>
      <c r="B18" s="770" t="s">
        <v>972</v>
      </c>
      <c r="C18" s="771">
        <v>629.75</v>
      </c>
      <c r="D18" s="775">
        <f t="shared" si="0"/>
        <v>705.32</v>
      </c>
      <c r="E18" s="775">
        <f t="shared" si="1"/>
        <v>680.13</v>
      </c>
    </row>
    <row r="19" spans="1:5" ht="14.1" customHeight="1">
      <c r="A19" s="769"/>
      <c r="B19" s="770" t="s">
        <v>973</v>
      </c>
      <c r="C19" s="771">
        <v>98</v>
      </c>
      <c r="D19" s="775">
        <f t="shared" si="0"/>
        <v>109.76</v>
      </c>
      <c r="E19" s="775">
        <f t="shared" si="1"/>
        <v>105.84</v>
      </c>
    </row>
    <row r="20" spans="1:5" ht="14.1" customHeight="1">
      <c r="A20" s="769"/>
      <c r="B20" s="770" t="s">
        <v>974</v>
      </c>
      <c r="C20" s="771">
        <v>161.85</v>
      </c>
      <c r="D20" s="775">
        <f t="shared" si="0"/>
        <v>181.27200000000002</v>
      </c>
      <c r="E20" s="775">
        <f t="shared" si="1"/>
        <v>174.798</v>
      </c>
    </row>
    <row r="21" spans="1:5" ht="14.1" customHeight="1">
      <c r="A21" s="769"/>
      <c r="B21" s="770" t="s">
        <v>975</v>
      </c>
      <c r="C21" s="771">
        <v>102.9</v>
      </c>
      <c r="D21" s="775">
        <f t="shared" si="0"/>
        <v>115.24800000000002</v>
      </c>
      <c r="E21" s="775">
        <f t="shared" si="1"/>
        <v>111.13200000000002</v>
      </c>
    </row>
    <row r="22" spans="1:5" ht="14.1" customHeight="1">
      <c r="A22" s="769"/>
      <c r="B22" s="770" t="s">
        <v>976</v>
      </c>
      <c r="C22" s="771">
        <v>1467.06</v>
      </c>
      <c r="D22" s="775">
        <f t="shared" si="0"/>
        <v>1643.1072000000001</v>
      </c>
      <c r="E22" s="775">
        <f t="shared" si="1"/>
        <v>1584.4248</v>
      </c>
    </row>
    <row r="23" spans="1:5" ht="14.1" customHeight="1">
      <c r="A23" s="769"/>
      <c r="B23" s="770" t="s">
        <v>977</v>
      </c>
      <c r="C23" s="771">
        <v>688.08</v>
      </c>
      <c r="D23" s="775">
        <f t="shared" si="0"/>
        <v>770.64960000000008</v>
      </c>
      <c r="E23" s="775">
        <f t="shared" si="1"/>
        <v>743.1264000000001</v>
      </c>
    </row>
    <row r="24" spans="1:5" ht="14.1" customHeight="1">
      <c r="A24" s="769"/>
      <c r="B24" s="770" t="s">
        <v>978</v>
      </c>
      <c r="C24" s="771">
        <v>364.27</v>
      </c>
      <c r="D24" s="775">
        <f t="shared" si="0"/>
        <v>407.98240000000004</v>
      </c>
      <c r="E24" s="775">
        <f t="shared" si="1"/>
        <v>393.41160000000002</v>
      </c>
    </row>
    <row r="25" spans="1:5" ht="14.1" customHeight="1">
      <c r="A25" s="769"/>
      <c r="B25" s="770" t="s">
        <v>979</v>
      </c>
      <c r="C25" s="771">
        <v>5.71</v>
      </c>
      <c r="D25" s="775">
        <f t="shared" si="0"/>
        <v>6.3952000000000009</v>
      </c>
      <c r="E25" s="775">
        <f t="shared" si="1"/>
        <v>6.1668000000000003</v>
      </c>
    </row>
    <row r="26" spans="1:5" ht="14.1" customHeight="1">
      <c r="A26" s="769"/>
      <c r="B26" s="770" t="s">
        <v>980</v>
      </c>
      <c r="C26" s="771">
        <v>241.08</v>
      </c>
      <c r="D26" s="775">
        <f t="shared" si="0"/>
        <v>270.00960000000003</v>
      </c>
      <c r="E26" s="775">
        <f t="shared" si="1"/>
        <v>260.36640000000006</v>
      </c>
    </row>
    <row r="27" spans="1:5" ht="14.1" customHeight="1">
      <c r="A27" s="769"/>
      <c r="B27" s="770" t="s">
        <v>981</v>
      </c>
      <c r="C27" s="771">
        <v>842.8</v>
      </c>
      <c r="D27" s="775">
        <f t="shared" si="0"/>
        <v>943.93600000000004</v>
      </c>
      <c r="E27" s="775">
        <f t="shared" si="1"/>
        <v>910.22400000000005</v>
      </c>
    </row>
    <row r="28" spans="1:5" ht="14.1" customHeight="1">
      <c r="A28" s="769"/>
      <c r="B28" s="770" t="s">
        <v>982</v>
      </c>
      <c r="C28" s="771">
        <v>378.57</v>
      </c>
      <c r="D28" s="775">
        <f t="shared" si="0"/>
        <v>423.99840000000006</v>
      </c>
      <c r="E28" s="775">
        <f t="shared" si="1"/>
        <v>408.85560000000004</v>
      </c>
    </row>
    <row r="29" spans="1:5" ht="14.1" customHeight="1">
      <c r="A29" s="769"/>
      <c r="B29" s="770" t="s">
        <v>983</v>
      </c>
      <c r="C29" s="771">
        <v>418.81</v>
      </c>
      <c r="D29" s="775">
        <f t="shared" si="0"/>
        <v>469.06720000000007</v>
      </c>
      <c r="E29" s="775">
        <f t="shared" si="1"/>
        <v>452.31480000000005</v>
      </c>
    </row>
    <row r="30" spans="1:5" ht="14.1" customHeight="1">
      <c r="A30" s="769"/>
      <c r="B30" s="770" t="s">
        <v>984</v>
      </c>
      <c r="C30" s="771">
        <v>132.30000000000001</v>
      </c>
      <c r="D30" s="775">
        <f t="shared" si="0"/>
        <v>148.17600000000002</v>
      </c>
      <c r="E30" s="775">
        <f t="shared" si="1"/>
        <v>142.88400000000001</v>
      </c>
    </row>
    <row r="31" spans="1:5" ht="14.1" customHeight="1">
      <c r="A31" s="769"/>
      <c r="B31" s="770" t="s">
        <v>985</v>
      </c>
      <c r="C31" s="771">
        <v>132.30000000000001</v>
      </c>
      <c r="D31" s="775">
        <f t="shared" si="0"/>
        <v>148.17600000000002</v>
      </c>
      <c r="E31" s="775">
        <f t="shared" si="1"/>
        <v>142.88400000000001</v>
      </c>
    </row>
    <row r="32" spans="1:5" ht="14.1" customHeight="1">
      <c r="A32" s="769"/>
      <c r="B32" s="770" t="s">
        <v>986</v>
      </c>
      <c r="C32" s="771">
        <v>208.94</v>
      </c>
      <c r="D32" s="775">
        <f t="shared" si="0"/>
        <v>234.01280000000003</v>
      </c>
      <c r="E32" s="775">
        <f t="shared" si="1"/>
        <v>225.65520000000001</v>
      </c>
    </row>
    <row r="33" spans="1:5" ht="14.1" customHeight="1">
      <c r="A33" s="769"/>
      <c r="B33" s="770" t="s">
        <v>987</v>
      </c>
      <c r="C33" s="771">
        <v>449.9</v>
      </c>
      <c r="D33" s="775">
        <f t="shared" si="0"/>
        <v>503.88800000000003</v>
      </c>
      <c r="E33" s="775">
        <f t="shared" si="1"/>
        <v>485.892</v>
      </c>
    </row>
    <row r="34" spans="1:5" ht="14.1" customHeight="1">
      <c r="A34" s="769"/>
      <c r="B34" s="770" t="s">
        <v>988</v>
      </c>
      <c r="C34" s="771">
        <v>357.19</v>
      </c>
      <c r="D34" s="775">
        <f t="shared" si="0"/>
        <v>400.05280000000005</v>
      </c>
      <c r="E34" s="775">
        <f t="shared" si="1"/>
        <v>385.76520000000005</v>
      </c>
    </row>
    <row r="35" spans="1:5" ht="14.1" customHeight="1">
      <c r="A35" s="769"/>
      <c r="B35" s="770" t="s">
        <v>989</v>
      </c>
      <c r="C35" s="771">
        <v>318.99</v>
      </c>
      <c r="D35" s="775">
        <f t="shared" si="0"/>
        <v>357.26880000000006</v>
      </c>
      <c r="E35" s="775">
        <f t="shared" si="1"/>
        <v>344.50920000000002</v>
      </c>
    </row>
    <row r="36" spans="1:5" ht="14.1" customHeight="1">
      <c r="A36" s="769"/>
      <c r="B36" s="770" t="s">
        <v>990</v>
      </c>
      <c r="C36" s="771">
        <v>333.64</v>
      </c>
      <c r="D36" s="775">
        <f t="shared" si="0"/>
        <v>373.67680000000001</v>
      </c>
      <c r="E36" s="775">
        <f t="shared" si="1"/>
        <v>360.33120000000002</v>
      </c>
    </row>
    <row r="37" spans="1:5" ht="14.1" customHeight="1">
      <c r="A37" s="769"/>
      <c r="B37" s="770" t="s">
        <v>991</v>
      </c>
      <c r="C37" s="771">
        <v>179.22</v>
      </c>
      <c r="D37" s="775">
        <f t="shared" si="0"/>
        <v>200.72640000000001</v>
      </c>
      <c r="E37" s="775">
        <f t="shared" si="1"/>
        <v>193.55760000000001</v>
      </c>
    </row>
    <row r="38" spans="1:5" ht="14.1" customHeight="1">
      <c r="A38" s="769"/>
      <c r="B38" s="770" t="s">
        <v>992</v>
      </c>
      <c r="C38" s="771">
        <v>331.63</v>
      </c>
      <c r="D38" s="775">
        <f t="shared" si="0"/>
        <v>371.42560000000003</v>
      </c>
      <c r="E38" s="775">
        <f t="shared" si="1"/>
        <v>358.16040000000004</v>
      </c>
    </row>
    <row r="39" spans="1:5" ht="14.1" customHeight="1">
      <c r="A39" s="769"/>
      <c r="B39" s="770" t="s">
        <v>993</v>
      </c>
      <c r="C39" s="771">
        <v>331.63</v>
      </c>
      <c r="D39" s="775">
        <f t="shared" si="0"/>
        <v>371.42560000000003</v>
      </c>
      <c r="E39" s="775">
        <f t="shared" si="1"/>
        <v>358.16040000000004</v>
      </c>
    </row>
    <row r="40" spans="1:5" ht="14.1" customHeight="1">
      <c r="A40" s="769"/>
      <c r="B40" s="770" t="s">
        <v>994</v>
      </c>
      <c r="C40" s="771">
        <v>220.5</v>
      </c>
      <c r="D40" s="775">
        <f t="shared" si="0"/>
        <v>246.96000000000004</v>
      </c>
      <c r="E40" s="775">
        <f t="shared" si="1"/>
        <v>238.14000000000001</v>
      </c>
    </row>
    <row r="41" spans="1:5" ht="14.1" customHeight="1">
      <c r="A41" s="769"/>
      <c r="B41" s="770" t="s">
        <v>995</v>
      </c>
      <c r="C41" s="771">
        <v>274.25</v>
      </c>
      <c r="D41" s="775">
        <f t="shared" si="0"/>
        <v>307.16000000000003</v>
      </c>
      <c r="E41" s="775">
        <f t="shared" si="1"/>
        <v>296.19</v>
      </c>
    </row>
    <row r="42" spans="1:5" ht="14.1" customHeight="1">
      <c r="A42" s="768" t="s">
        <v>996</v>
      </c>
      <c r="B42" s="768"/>
      <c r="C42" s="771">
        <v>0</v>
      </c>
      <c r="D42" s="775">
        <f t="shared" si="0"/>
        <v>0</v>
      </c>
      <c r="E42" s="775">
        <f t="shared" si="1"/>
        <v>0</v>
      </c>
    </row>
    <row r="43" spans="1:5" ht="14.1" customHeight="1">
      <c r="A43" s="769"/>
      <c r="B43" s="770" t="s">
        <v>997</v>
      </c>
      <c r="C43" s="771">
        <v>349.79</v>
      </c>
      <c r="D43" s="775">
        <f t="shared" si="0"/>
        <v>391.76480000000004</v>
      </c>
      <c r="E43" s="775">
        <f t="shared" si="1"/>
        <v>377.77320000000003</v>
      </c>
    </row>
    <row r="44" spans="1:5" ht="14.1" customHeight="1">
      <c r="A44" s="772" t="s">
        <v>1010</v>
      </c>
      <c r="B44" s="772"/>
      <c r="C44" s="771">
        <v>0</v>
      </c>
      <c r="D44" s="775">
        <f t="shared" si="0"/>
        <v>0</v>
      </c>
      <c r="E44" s="775">
        <f t="shared" si="1"/>
        <v>0</v>
      </c>
    </row>
    <row r="45" spans="1:5" ht="14.1" customHeight="1">
      <c r="A45" s="769"/>
      <c r="B45" s="770" t="s">
        <v>998</v>
      </c>
      <c r="C45" s="771">
        <v>421.01</v>
      </c>
      <c r="D45" s="775">
        <f t="shared" si="0"/>
        <v>471.53120000000001</v>
      </c>
      <c r="E45" s="775">
        <f t="shared" si="1"/>
        <v>454.69080000000002</v>
      </c>
    </row>
    <row r="46" spans="1:5" ht="14.1" customHeight="1">
      <c r="A46" s="769"/>
      <c r="B46" s="770" t="s">
        <v>999</v>
      </c>
      <c r="C46" s="771">
        <v>501.2</v>
      </c>
      <c r="D46" s="775">
        <f t="shared" si="0"/>
        <v>561.34400000000005</v>
      </c>
      <c r="E46" s="775">
        <f t="shared" si="1"/>
        <v>541.29600000000005</v>
      </c>
    </row>
    <row r="47" spans="1:5" ht="14.1" customHeight="1">
      <c r="A47" s="769"/>
      <c r="B47" s="770" t="s">
        <v>1000</v>
      </c>
      <c r="C47" s="771">
        <v>221.93</v>
      </c>
      <c r="D47" s="775">
        <f t="shared" si="0"/>
        <v>248.56160000000003</v>
      </c>
      <c r="E47" s="775">
        <f t="shared" si="1"/>
        <v>239.68440000000001</v>
      </c>
    </row>
    <row r="48" spans="1:5" ht="14.1" customHeight="1">
      <c r="A48" s="769"/>
      <c r="B48" s="770" t="s">
        <v>1001</v>
      </c>
      <c r="C48" s="771">
        <v>232.27</v>
      </c>
      <c r="D48" s="775">
        <f t="shared" si="0"/>
        <v>260.14240000000001</v>
      </c>
      <c r="E48" s="775">
        <f t="shared" si="1"/>
        <v>250.85160000000002</v>
      </c>
    </row>
    <row r="49" spans="1:5" ht="14.1" customHeight="1">
      <c r="A49" s="768" t="s">
        <v>1002</v>
      </c>
      <c r="B49" s="768"/>
      <c r="C49" s="771">
        <v>0</v>
      </c>
      <c r="D49" s="775">
        <f t="shared" si="0"/>
        <v>0</v>
      </c>
      <c r="E49" s="775">
        <f t="shared" si="1"/>
        <v>0</v>
      </c>
    </row>
    <row r="50" spans="1:5" ht="14.1" customHeight="1">
      <c r="A50" s="769"/>
      <c r="B50" s="770" t="s">
        <v>1003</v>
      </c>
      <c r="C50" s="771">
        <v>122.13</v>
      </c>
      <c r="D50" s="775">
        <f t="shared" si="0"/>
        <v>136.78560000000002</v>
      </c>
      <c r="E50" s="775">
        <f t="shared" si="1"/>
        <v>131.90039999999999</v>
      </c>
    </row>
    <row r="51" spans="1:5" ht="14.1" customHeight="1">
      <c r="A51" s="769"/>
      <c r="B51" s="770" t="s">
        <v>1004</v>
      </c>
      <c r="C51" s="771">
        <v>172.44</v>
      </c>
      <c r="D51" s="775">
        <f t="shared" si="0"/>
        <v>193.1328</v>
      </c>
      <c r="E51" s="775">
        <f t="shared" si="1"/>
        <v>186.23520000000002</v>
      </c>
    </row>
    <row r="52" spans="1:5" ht="14.1" customHeight="1">
      <c r="A52" s="769"/>
      <c r="B52" s="770" t="s">
        <v>1005</v>
      </c>
      <c r="C52" s="771">
        <v>290.08</v>
      </c>
      <c r="D52" s="775">
        <f t="shared" si="0"/>
        <v>324.88960000000003</v>
      </c>
      <c r="E52" s="775">
        <f t="shared" si="1"/>
        <v>313.28640000000001</v>
      </c>
    </row>
    <row r="53" spans="1:5" ht="14.1" customHeight="1">
      <c r="A53" s="768" t="s">
        <v>136</v>
      </c>
      <c r="B53" s="768"/>
      <c r="C53" s="771">
        <v>0</v>
      </c>
      <c r="D53" s="775">
        <f t="shared" si="0"/>
        <v>0</v>
      </c>
      <c r="E53" s="775">
        <f t="shared" si="1"/>
        <v>0</v>
      </c>
    </row>
    <row r="54" spans="1:5" ht="14.1" customHeight="1">
      <c r="A54" s="769"/>
      <c r="B54" s="770" t="s">
        <v>1006</v>
      </c>
      <c r="C54" s="771">
        <v>1423.34</v>
      </c>
      <c r="D54" s="775">
        <f t="shared" si="0"/>
        <v>1594.1408000000001</v>
      </c>
      <c r="E54" s="775">
        <f t="shared" si="1"/>
        <v>1537.2072000000001</v>
      </c>
    </row>
    <row r="55" spans="1:5" ht="14.1" customHeight="1">
      <c r="A55" s="769"/>
      <c r="B55" s="770" t="s">
        <v>1007</v>
      </c>
      <c r="C55" s="771">
        <v>98</v>
      </c>
      <c r="D55" s="775">
        <f t="shared" si="0"/>
        <v>109.76</v>
      </c>
      <c r="E55" s="775">
        <f t="shared" si="1"/>
        <v>105.84</v>
      </c>
    </row>
    <row r="56" spans="1:5" ht="14.1" customHeight="1">
      <c r="A56" s="769"/>
      <c r="B56" s="770" t="s">
        <v>1008</v>
      </c>
      <c r="C56" s="771">
        <v>266.45</v>
      </c>
      <c r="D56" s="775">
        <f t="shared" si="0"/>
        <v>298.42400000000004</v>
      </c>
      <c r="E56" s="775">
        <f t="shared" si="1"/>
        <v>287.76600000000002</v>
      </c>
    </row>
    <row r="57" spans="1:5" ht="14.1" customHeight="1">
      <c r="A57" s="769"/>
      <c r="B57" s="770" t="s">
        <v>1009</v>
      </c>
      <c r="C57" s="771">
        <v>429.21</v>
      </c>
      <c r="D57" s="775">
        <f t="shared" si="0"/>
        <v>480.71520000000004</v>
      </c>
      <c r="E57" s="775">
        <f t="shared" si="1"/>
        <v>463.54680000000002</v>
      </c>
    </row>
  </sheetData>
  <customSheetViews>
    <customSheetView guid="{FBB3E572-A647-4B8C-96C7-F43FE4F7CAA8}" hiddenColumns="1">
      <selection activeCell="G14" sqref="G14"/>
      <pageMargins left="0.7" right="0.7" top="0.75" bottom="0.75" header="0.3" footer="0.3"/>
      <pageSetup paperSize="9" orientation="portrait" horizontalDpi="0" verticalDpi="0" r:id="rId1"/>
    </customSheetView>
    <customSheetView guid="{900EF7B2-0D63-4DE2-9CFC-2D2B3788802C}" hiddenColumns="1">
      <selection activeCell="E8" sqref="E8"/>
      <pageMargins left="0.7" right="0.7" top="0.75" bottom="0.75" header="0.3" footer="0.3"/>
      <pageSetup paperSize="9" orientation="portrait" horizontalDpi="0" verticalDpi="0" r:id="rId2"/>
    </customSheetView>
    <customSheetView guid="{CC6D6007-EFDE-464F-BD7C-A67043AC5D5C}" hiddenColumns="1" topLeftCell="A19">
      <selection activeCell="I20" sqref="I20"/>
      <pageMargins left="0.7" right="0.7" top="0.75" bottom="0.75" header="0.3" footer="0.3"/>
      <pageSetup paperSize="9" orientation="portrait" horizontalDpi="0" verticalDpi="0" r:id="rId3"/>
    </customSheetView>
    <customSheetView guid="{C0FE86CC-5BB4-4265-957F-F51B909B3E81}" hiddenColumns="1" topLeftCell="A28">
      <selection activeCell="G14" sqref="G14"/>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23.xml><?xml version="1.0" encoding="utf-8"?>
<worksheet xmlns="http://schemas.openxmlformats.org/spreadsheetml/2006/main" xmlns:r="http://schemas.openxmlformats.org/officeDocument/2006/relationships">
  <dimension ref="A2:I15"/>
  <sheetViews>
    <sheetView workbookViewId="0">
      <selection activeCell="A24" sqref="A24"/>
    </sheetView>
  </sheetViews>
  <sheetFormatPr defaultRowHeight="15"/>
  <cols>
    <col min="1" max="1" width="116.140625" customWidth="1"/>
    <col min="2" max="2" width="14" customWidth="1"/>
    <col min="3" max="3" width="0.140625" customWidth="1"/>
    <col min="4" max="4" width="13.5703125" customWidth="1"/>
  </cols>
  <sheetData>
    <row r="2" spans="1:9" ht="28.5" customHeight="1" thickBot="1">
      <c r="A2" s="777" t="s">
        <v>1013</v>
      </c>
    </row>
    <row r="3" spans="1:9" ht="15.75" thickBot="1">
      <c r="A3" s="782" t="s">
        <v>781</v>
      </c>
      <c r="B3" s="574" t="s">
        <v>1014</v>
      </c>
      <c r="C3" s="574" t="s">
        <v>1015</v>
      </c>
      <c r="D3" s="575" t="s">
        <v>1020</v>
      </c>
    </row>
    <row r="4" spans="1:9" ht="21">
      <c r="A4" s="832" t="s">
        <v>1021</v>
      </c>
      <c r="B4" s="833" t="s">
        <v>1016</v>
      </c>
      <c r="C4" s="834">
        <v>452.85</v>
      </c>
      <c r="D4" s="833">
        <f>C4*1.2</f>
        <v>543.41999999999996</v>
      </c>
    </row>
    <row r="5" spans="1:9" ht="21">
      <c r="A5" s="835" t="s">
        <v>1022</v>
      </c>
      <c r="B5" s="836" t="s">
        <v>1017</v>
      </c>
      <c r="C5" s="837">
        <v>565.70000000000005</v>
      </c>
      <c r="D5" s="836">
        <f t="shared" ref="D5:D15" si="0">C5*1.2</f>
        <v>678.84</v>
      </c>
    </row>
    <row r="6" spans="1:9" ht="21">
      <c r="A6" s="835" t="s">
        <v>1023</v>
      </c>
      <c r="B6" s="836" t="s">
        <v>1018</v>
      </c>
      <c r="C6" s="838">
        <v>1082</v>
      </c>
      <c r="D6" s="836">
        <f t="shared" si="0"/>
        <v>1298.3999999999999</v>
      </c>
    </row>
    <row r="7" spans="1:9" ht="21">
      <c r="A7" s="835" t="s">
        <v>1024</v>
      </c>
      <c r="B7" s="836" t="s">
        <v>1019</v>
      </c>
      <c r="C7" s="838">
        <v>1103</v>
      </c>
      <c r="D7" s="836">
        <f t="shared" si="0"/>
        <v>1323.6</v>
      </c>
    </row>
    <row r="8" spans="1:9" ht="21">
      <c r="A8" s="835" t="s">
        <v>1025</v>
      </c>
      <c r="B8" s="836" t="s">
        <v>1019</v>
      </c>
      <c r="C8" s="838">
        <v>1103</v>
      </c>
      <c r="D8" s="836">
        <f t="shared" si="0"/>
        <v>1323.6</v>
      </c>
    </row>
    <row r="9" spans="1:9" ht="21.75" thickBot="1">
      <c r="A9" s="839" t="s">
        <v>1026</v>
      </c>
      <c r="B9" s="840" t="s">
        <v>1017</v>
      </c>
      <c r="C9" s="841">
        <v>455</v>
      </c>
      <c r="D9" s="842">
        <f t="shared" si="0"/>
        <v>546</v>
      </c>
    </row>
    <row r="10" spans="1:9" ht="21">
      <c r="A10" s="843" t="s">
        <v>1027</v>
      </c>
      <c r="B10" s="844" t="s">
        <v>217</v>
      </c>
      <c r="C10" s="845">
        <v>916.65</v>
      </c>
      <c r="D10" s="833">
        <f t="shared" si="0"/>
        <v>1099.98</v>
      </c>
      <c r="E10" s="783"/>
      <c r="F10" s="783"/>
      <c r="G10" s="783"/>
      <c r="H10" s="783"/>
      <c r="I10" s="783"/>
    </row>
    <row r="11" spans="1:9" ht="21">
      <c r="A11" s="846" t="s">
        <v>1028</v>
      </c>
      <c r="B11" s="847" t="s">
        <v>217</v>
      </c>
      <c r="C11" s="848">
        <v>1083.5899999999999</v>
      </c>
      <c r="D11" s="836">
        <f t="shared" si="0"/>
        <v>1300.3079999999998</v>
      </c>
      <c r="E11" s="783"/>
      <c r="F11" s="783"/>
      <c r="G11" s="783"/>
      <c r="H11" s="783"/>
      <c r="I11" s="783"/>
    </row>
    <row r="12" spans="1:9" ht="21">
      <c r="A12" s="846" t="s">
        <v>1029</v>
      </c>
      <c r="B12" s="847" t="s">
        <v>217</v>
      </c>
      <c r="C12" s="849">
        <v>720.71</v>
      </c>
      <c r="D12" s="836">
        <f t="shared" si="0"/>
        <v>864.85199999999998</v>
      </c>
      <c r="E12" s="783"/>
      <c r="F12" s="783"/>
      <c r="G12" s="783"/>
      <c r="H12" s="783"/>
      <c r="I12" s="783"/>
    </row>
    <row r="13" spans="1:9" ht="21">
      <c r="A13" s="846" t="s">
        <v>1030</v>
      </c>
      <c r="B13" s="847" t="s">
        <v>217</v>
      </c>
      <c r="C13" s="849">
        <v>720.71</v>
      </c>
      <c r="D13" s="836">
        <f t="shared" si="0"/>
        <v>864.85199999999998</v>
      </c>
      <c r="E13" s="783"/>
      <c r="F13" s="783"/>
      <c r="G13" s="783"/>
      <c r="H13" s="783"/>
      <c r="I13" s="783"/>
    </row>
    <row r="14" spans="1:9" ht="21">
      <c r="A14" s="846" t="s">
        <v>1031</v>
      </c>
      <c r="B14" s="847" t="s">
        <v>217</v>
      </c>
      <c r="C14" s="849">
        <v>873.97</v>
      </c>
      <c r="D14" s="836">
        <f t="shared" si="0"/>
        <v>1048.7639999999999</v>
      </c>
      <c r="E14" s="783"/>
      <c r="F14" s="783"/>
      <c r="G14" s="783"/>
      <c r="H14" s="783"/>
      <c r="I14" s="783"/>
    </row>
    <row r="15" spans="1:9" ht="21.75" thickBot="1">
      <c r="A15" s="850" t="s">
        <v>1032</v>
      </c>
      <c r="B15" s="851" t="s">
        <v>217</v>
      </c>
      <c r="C15" s="852">
        <v>873</v>
      </c>
      <c r="D15" s="840">
        <f t="shared" si="0"/>
        <v>1047.5999999999999</v>
      </c>
      <c r="E15" s="783"/>
      <c r="F15" s="783"/>
      <c r="G15" s="783"/>
      <c r="H15" s="783"/>
      <c r="I15" s="783"/>
    </row>
  </sheetData>
  <customSheetViews>
    <customSheetView guid="{FBB3E572-A647-4B8C-96C7-F43FE4F7CAA8}">
      <selection activeCell="A24" sqref="A24"/>
      <pageMargins left="0.7" right="0.7" top="0.75" bottom="0.75" header="0.3" footer="0.3"/>
      <pageSetup paperSize="9" orientation="portrait" horizontalDpi="0" verticalDpi="0" r:id="rId1"/>
    </customSheetView>
    <customSheetView guid="{900EF7B2-0D63-4DE2-9CFC-2D2B3788802C}">
      <selection activeCell="A24" sqref="A24"/>
      <pageMargins left="0.7" right="0.7" top="0.75" bottom="0.75" header="0.3" footer="0.3"/>
      <pageSetup paperSize="9" orientation="portrait" horizontalDpi="0" verticalDpi="0" r:id="rId2"/>
    </customSheetView>
    <customSheetView guid="{CC6D6007-EFDE-464F-BD7C-A67043AC5D5C}">
      <selection activeCell="A19" sqref="A19"/>
      <pageMargins left="0.7" right="0.7" top="0.75" bottom="0.75" header="0.3" footer="0.3"/>
      <pageSetup paperSize="9" orientation="portrait" horizontalDpi="0" verticalDpi="0" r:id="rId3"/>
    </customSheetView>
    <customSheetView guid="{C0FE86CC-5BB4-4265-957F-F51B909B3E81}">
      <selection activeCell="A3" sqref="A3:D15"/>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24.xml><?xml version="1.0" encoding="utf-8"?>
<worksheet xmlns="http://schemas.openxmlformats.org/spreadsheetml/2006/main" xmlns:r="http://schemas.openxmlformats.org/officeDocument/2006/relationships">
  <dimension ref="A1:D32"/>
  <sheetViews>
    <sheetView workbookViewId="0"/>
  </sheetViews>
  <sheetFormatPr defaultRowHeight="21.95" customHeight="1"/>
  <cols>
    <col min="1" max="1" width="68.28515625" customWidth="1"/>
    <col min="2" max="2" width="9" customWidth="1"/>
    <col min="3" max="3" width="9.5703125" hidden="1" customWidth="1"/>
    <col min="4" max="4" width="16.85546875" customWidth="1"/>
    <col min="6" max="12" width="9.140625" customWidth="1"/>
  </cols>
  <sheetData>
    <row r="1" spans="1:4" ht="25.5" customHeight="1" thickBot="1">
      <c r="A1" s="880" t="s">
        <v>1013</v>
      </c>
      <c r="B1" s="577"/>
      <c r="C1" s="577"/>
      <c r="D1" s="577"/>
    </row>
    <row r="2" spans="1:4" ht="21.95" customHeight="1" thickBot="1">
      <c r="A2" s="853" t="s">
        <v>1084</v>
      </c>
      <c r="B2" s="854" t="s">
        <v>1085</v>
      </c>
      <c r="C2" s="855" t="s">
        <v>941</v>
      </c>
      <c r="D2" s="855" t="s">
        <v>941</v>
      </c>
    </row>
    <row r="3" spans="1:4" ht="21.95" customHeight="1">
      <c r="A3" s="856" t="s">
        <v>1086</v>
      </c>
      <c r="B3" s="857" t="s">
        <v>1087</v>
      </c>
      <c r="C3" s="858">
        <v>138</v>
      </c>
      <c r="D3" s="870">
        <f>C3*1.1</f>
        <v>151.80000000000001</v>
      </c>
    </row>
    <row r="4" spans="1:4" ht="21.95" customHeight="1">
      <c r="A4" s="859" t="s">
        <v>1088</v>
      </c>
      <c r="B4" s="860" t="s">
        <v>1087</v>
      </c>
      <c r="C4" s="861">
        <v>216</v>
      </c>
      <c r="D4" s="871">
        <f t="shared" ref="D4:D6" si="0">C4*1.1</f>
        <v>237.60000000000002</v>
      </c>
    </row>
    <row r="5" spans="1:4" ht="21.95" customHeight="1">
      <c r="A5" s="859" t="s">
        <v>1089</v>
      </c>
      <c r="B5" s="860" t="s">
        <v>1087</v>
      </c>
      <c r="C5" s="861">
        <v>765</v>
      </c>
      <c r="D5" s="871">
        <f t="shared" si="0"/>
        <v>841.50000000000011</v>
      </c>
    </row>
    <row r="6" spans="1:4" ht="21.95" customHeight="1" thickBot="1">
      <c r="A6" s="862" t="s">
        <v>1090</v>
      </c>
      <c r="B6" s="863" t="s">
        <v>1087</v>
      </c>
      <c r="C6" s="864">
        <v>935</v>
      </c>
      <c r="D6" s="871">
        <f t="shared" si="0"/>
        <v>1028.5</v>
      </c>
    </row>
    <row r="7" spans="1:4" ht="21.95" customHeight="1">
      <c r="A7" s="865" t="s">
        <v>1091</v>
      </c>
      <c r="B7" s="866" t="s">
        <v>1087</v>
      </c>
      <c r="C7" s="867">
        <v>525</v>
      </c>
      <c r="D7" s="870">
        <f>C7*1.08</f>
        <v>567</v>
      </c>
    </row>
    <row r="8" spans="1:4" ht="21.95" customHeight="1">
      <c r="A8" s="859" t="s">
        <v>1092</v>
      </c>
      <c r="B8" s="860" t="s">
        <v>1087</v>
      </c>
      <c r="C8" s="861">
        <v>710</v>
      </c>
      <c r="D8" s="871">
        <f t="shared" ref="D8:D11" si="1">C8*1.08</f>
        <v>766.80000000000007</v>
      </c>
    </row>
    <row r="9" spans="1:4" ht="21.95" customHeight="1">
      <c r="A9" s="859" t="s">
        <v>1093</v>
      </c>
      <c r="B9" s="860" t="s">
        <v>1087</v>
      </c>
      <c r="C9" s="861">
        <v>967</v>
      </c>
      <c r="D9" s="871">
        <f t="shared" si="1"/>
        <v>1044.3600000000001</v>
      </c>
    </row>
    <row r="10" spans="1:4" ht="21.95" customHeight="1">
      <c r="A10" s="859" t="s">
        <v>1094</v>
      </c>
      <c r="B10" s="860" t="s">
        <v>1087</v>
      </c>
      <c r="C10" s="861">
        <v>497</v>
      </c>
      <c r="D10" s="871">
        <f t="shared" si="1"/>
        <v>536.76</v>
      </c>
    </row>
    <row r="11" spans="1:4" ht="21.95" customHeight="1" thickBot="1">
      <c r="A11" s="862" t="s">
        <v>1095</v>
      </c>
      <c r="B11" s="863" t="s">
        <v>1087</v>
      </c>
      <c r="C11" s="864">
        <v>525</v>
      </c>
      <c r="D11" s="872">
        <f t="shared" si="1"/>
        <v>567</v>
      </c>
    </row>
    <row r="12" spans="1:4" ht="21.95" customHeight="1">
      <c r="A12" s="865" t="s">
        <v>1096</v>
      </c>
      <c r="B12" s="866" t="s">
        <v>1087</v>
      </c>
      <c r="C12" s="867">
        <v>345</v>
      </c>
      <c r="D12" s="870">
        <f>C12*1.08</f>
        <v>372.6</v>
      </c>
    </row>
    <row r="13" spans="1:4" ht="21.95" customHeight="1">
      <c r="A13" s="859" t="s">
        <v>1097</v>
      </c>
      <c r="B13" s="860" t="s">
        <v>1087</v>
      </c>
      <c r="C13" s="861">
        <v>465</v>
      </c>
      <c r="D13" s="871">
        <f t="shared" ref="D13:D19" si="2">C13*1.08</f>
        <v>502.20000000000005</v>
      </c>
    </row>
    <row r="14" spans="1:4" ht="21.95" customHeight="1">
      <c r="A14" s="859" t="s">
        <v>1098</v>
      </c>
      <c r="B14" s="860" t="s">
        <v>1087</v>
      </c>
      <c r="C14" s="861">
        <v>580</v>
      </c>
      <c r="D14" s="871">
        <f t="shared" si="2"/>
        <v>626.40000000000009</v>
      </c>
    </row>
    <row r="15" spans="1:4" ht="21.95" customHeight="1">
      <c r="A15" s="859" t="s">
        <v>1099</v>
      </c>
      <c r="B15" s="860" t="s">
        <v>1087</v>
      </c>
      <c r="C15" s="861">
        <v>715.5</v>
      </c>
      <c r="D15" s="871">
        <f t="shared" si="2"/>
        <v>772.74</v>
      </c>
    </row>
    <row r="16" spans="1:4" ht="21.95" customHeight="1">
      <c r="A16" s="859" t="s">
        <v>1100</v>
      </c>
      <c r="B16" s="860" t="s">
        <v>1087</v>
      </c>
      <c r="C16" s="861">
        <v>840</v>
      </c>
      <c r="D16" s="871">
        <f t="shared" si="2"/>
        <v>907.2</v>
      </c>
    </row>
    <row r="17" spans="1:4" ht="21.95" customHeight="1">
      <c r="A17" s="859" t="s">
        <v>1101</v>
      </c>
      <c r="B17" s="860" t="s">
        <v>1087</v>
      </c>
      <c r="C17" s="861">
        <v>975</v>
      </c>
      <c r="D17" s="871">
        <f t="shared" si="2"/>
        <v>1053</v>
      </c>
    </row>
    <row r="18" spans="1:4" ht="21.95" customHeight="1">
      <c r="A18" s="859" t="s">
        <v>1102</v>
      </c>
      <c r="B18" s="860" t="s">
        <v>1087</v>
      </c>
      <c r="C18" s="868">
        <v>1220</v>
      </c>
      <c r="D18" s="871">
        <f t="shared" si="2"/>
        <v>1317.6000000000001</v>
      </c>
    </row>
    <row r="19" spans="1:4" ht="21.95" customHeight="1" thickBot="1">
      <c r="A19" s="862" t="s">
        <v>1103</v>
      </c>
      <c r="B19" s="863" t="s">
        <v>1087</v>
      </c>
      <c r="C19" s="869">
        <v>1450</v>
      </c>
      <c r="D19" s="872">
        <f t="shared" si="2"/>
        <v>1566</v>
      </c>
    </row>
    <row r="20" spans="1:4" ht="21.95" customHeight="1">
      <c r="A20" s="865" t="s">
        <v>1109</v>
      </c>
      <c r="B20" s="866" t="s">
        <v>1</v>
      </c>
      <c r="C20" s="867">
        <v>127</v>
      </c>
      <c r="D20" s="870">
        <f>C20*1.1</f>
        <v>139.70000000000002</v>
      </c>
    </row>
    <row r="21" spans="1:4" ht="21.95" customHeight="1">
      <c r="A21" s="859" t="s">
        <v>1110</v>
      </c>
      <c r="B21" s="860" t="s">
        <v>1</v>
      </c>
      <c r="C21" s="861">
        <v>128</v>
      </c>
      <c r="D21" s="871">
        <f t="shared" ref="D21:D32" si="3">C21*1.1</f>
        <v>140.80000000000001</v>
      </c>
    </row>
    <row r="22" spans="1:4" ht="21.95" customHeight="1">
      <c r="A22" s="859" t="s">
        <v>1111</v>
      </c>
      <c r="B22" s="860" t="s">
        <v>1</v>
      </c>
      <c r="C22" s="861">
        <v>221</v>
      </c>
      <c r="D22" s="871">
        <f t="shared" si="3"/>
        <v>243.10000000000002</v>
      </c>
    </row>
    <row r="23" spans="1:4" ht="21.95" customHeight="1">
      <c r="A23" s="859" t="s">
        <v>1112</v>
      </c>
      <c r="B23" s="860" t="s">
        <v>1</v>
      </c>
      <c r="C23" s="861">
        <v>288</v>
      </c>
      <c r="D23" s="871">
        <f t="shared" si="3"/>
        <v>316.8</v>
      </c>
    </row>
    <row r="24" spans="1:4" ht="21.95" customHeight="1">
      <c r="A24" s="859" t="s">
        <v>1113</v>
      </c>
      <c r="B24" s="860" t="s">
        <v>1</v>
      </c>
      <c r="C24" s="861">
        <v>310</v>
      </c>
      <c r="D24" s="871">
        <f t="shared" si="3"/>
        <v>341</v>
      </c>
    </row>
    <row r="25" spans="1:4" ht="21.95" customHeight="1">
      <c r="A25" s="859" t="s">
        <v>1114</v>
      </c>
      <c r="B25" s="860" t="s">
        <v>1</v>
      </c>
      <c r="C25" s="861">
        <v>156</v>
      </c>
      <c r="D25" s="871">
        <f t="shared" si="3"/>
        <v>171.60000000000002</v>
      </c>
    </row>
    <row r="26" spans="1:4" ht="21.95" customHeight="1">
      <c r="A26" s="859" t="s">
        <v>1115</v>
      </c>
      <c r="B26" s="860" t="s">
        <v>1</v>
      </c>
      <c r="C26" s="861">
        <v>259</v>
      </c>
      <c r="D26" s="871">
        <f t="shared" si="3"/>
        <v>284.90000000000003</v>
      </c>
    </row>
    <row r="27" spans="1:4" ht="21.95" customHeight="1">
      <c r="A27" s="859" t="s">
        <v>1116</v>
      </c>
      <c r="B27" s="860" t="s">
        <v>1</v>
      </c>
      <c r="C27" s="861">
        <v>156</v>
      </c>
      <c r="D27" s="871">
        <f t="shared" si="3"/>
        <v>171.60000000000002</v>
      </c>
    </row>
    <row r="28" spans="1:4" ht="21.95" customHeight="1">
      <c r="A28" s="859" t="s">
        <v>1117</v>
      </c>
      <c r="B28" s="860" t="s">
        <v>1</v>
      </c>
      <c r="C28" s="861">
        <v>259</v>
      </c>
      <c r="D28" s="871">
        <f t="shared" si="3"/>
        <v>284.90000000000003</v>
      </c>
    </row>
    <row r="29" spans="1:4" ht="21.95" customHeight="1">
      <c r="A29" s="859" t="s">
        <v>1118</v>
      </c>
      <c r="B29" s="860" t="s">
        <v>1</v>
      </c>
      <c r="C29" s="861">
        <v>308</v>
      </c>
      <c r="D29" s="871">
        <f t="shared" si="3"/>
        <v>338.8</v>
      </c>
    </row>
    <row r="30" spans="1:4" ht="21.95" customHeight="1">
      <c r="A30" s="859" t="s">
        <v>1119</v>
      </c>
      <c r="B30" s="860" t="s">
        <v>1</v>
      </c>
      <c r="C30" s="861">
        <v>156</v>
      </c>
      <c r="D30" s="871">
        <f t="shared" si="3"/>
        <v>171.60000000000002</v>
      </c>
    </row>
    <row r="31" spans="1:4" ht="21.95" customHeight="1">
      <c r="A31" s="859" t="s">
        <v>1120</v>
      </c>
      <c r="B31" s="860" t="s">
        <v>1</v>
      </c>
      <c r="C31" s="861">
        <v>259</v>
      </c>
      <c r="D31" s="871">
        <f t="shared" si="3"/>
        <v>284.90000000000003</v>
      </c>
    </row>
    <row r="32" spans="1:4" ht="21.95" customHeight="1" thickBot="1">
      <c r="A32" s="862" t="s">
        <v>1121</v>
      </c>
      <c r="B32" s="863" t="s">
        <v>1</v>
      </c>
      <c r="C32" s="864">
        <v>308</v>
      </c>
      <c r="D32" s="872">
        <f t="shared" si="3"/>
        <v>338.8</v>
      </c>
    </row>
  </sheetData>
  <customSheetViews>
    <customSheetView guid="{FBB3E572-A647-4B8C-96C7-F43FE4F7CAA8}" hiddenColumns="1">
      <pageMargins left="0.7" right="0.7" top="0.75" bottom="0.75" header="0.3" footer="0.3"/>
    </customSheetView>
    <customSheetView guid="{900EF7B2-0D63-4DE2-9CFC-2D2B3788802C}" hiddenColumns="1">
      <pageMargins left="0.7" right="0.7" top="0.75" bottom="0.75" header="0.3" footer="0.3"/>
    </customSheetView>
    <customSheetView guid="{CC6D6007-EFDE-464F-BD7C-A67043AC5D5C}" hiddenColumns="1">
      <pageMargins left="0.7" right="0.7" top="0.75" bottom="0.75" header="0.3" footer="0.3"/>
    </customSheetView>
    <customSheetView guid="{C0FE86CC-5BB4-4265-957F-F51B909B3E81}" hiddenColumns="1">
      <selection activeCell="A2" sqref="A2:D19"/>
      <pageMargins left="0.7" right="0.7" top="0.75" bottom="0.75" header="0.3" footer="0.3"/>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53"/>
  <sheetViews>
    <sheetView workbookViewId="0">
      <selection activeCell="D52" sqref="D52:E53"/>
    </sheetView>
  </sheetViews>
  <sheetFormatPr defaultRowHeight="15"/>
  <cols>
    <col min="1" max="1" width="24.7109375" customWidth="1"/>
    <col min="2" max="2" width="42.42578125" customWidth="1"/>
    <col min="4" max="4" width="13.7109375" customWidth="1"/>
    <col min="5" max="5" width="12.85546875" customWidth="1"/>
  </cols>
  <sheetData>
    <row r="1" spans="1:6" ht="26.25" customHeight="1" thickBot="1">
      <c r="A1" s="1061"/>
      <c r="B1" s="1061"/>
      <c r="C1" s="1061"/>
      <c r="D1" s="1061"/>
      <c r="E1" s="1062"/>
      <c r="F1" s="1060"/>
    </row>
    <row r="2" spans="1:6" ht="60.75" thickBot="1">
      <c r="A2" s="1001" t="s">
        <v>1135</v>
      </c>
      <c r="B2" s="1002"/>
      <c r="C2" s="1002"/>
      <c r="D2" s="1003"/>
      <c r="E2" s="1004"/>
    </row>
    <row r="3" spans="1:6" ht="16.5" thickBot="1">
      <c r="A3" s="886" t="s">
        <v>1136</v>
      </c>
      <c r="B3" s="887"/>
      <c r="C3" s="949" t="s">
        <v>1137</v>
      </c>
      <c r="D3" s="950" t="s">
        <v>1138</v>
      </c>
      <c r="E3" s="951" t="s">
        <v>1139</v>
      </c>
    </row>
    <row r="4" spans="1:6">
      <c r="A4" s="946">
        <v>1</v>
      </c>
      <c r="B4" s="881" t="s">
        <v>1140</v>
      </c>
      <c r="C4" s="888" t="s">
        <v>21</v>
      </c>
      <c r="D4" s="889">
        <v>363.5</v>
      </c>
      <c r="E4" s="607">
        <v>311.5</v>
      </c>
    </row>
    <row r="5" spans="1:6">
      <c r="A5" s="947">
        <v>2</v>
      </c>
      <c r="B5" s="890" t="s">
        <v>1141</v>
      </c>
      <c r="C5" s="891" t="s">
        <v>21</v>
      </c>
      <c r="D5" s="892">
        <v>50.1</v>
      </c>
      <c r="E5" s="893">
        <v>42.9</v>
      </c>
    </row>
    <row r="6" spans="1:6">
      <c r="A6" s="947">
        <v>3</v>
      </c>
      <c r="B6" s="890" t="s">
        <v>1142</v>
      </c>
      <c r="C6" s="891" t="s">
        <v>21</v>
      </c>
      <c r="D6" s="892">
        <v>50.1</v>
      </c>
      <c r="E6" s="893">
        <v>42.9</v>
      </c>
    </row>
    <row r="7" spans="1:6">
      <c r="A7" s="947">
        <v>4</v>
      </c>
      <c r="B7" s="890" t="s">
        <v>1143</v>
      </c>
      <c r="C7" s="891" t="s">
        <v>21</v>
      </c>
      <c r="D7" s="892">
        <v>69.3</v>
      </c>
      <c r="E7" s="893">
        <v>59.4</v>
      </c>
    </row>
    <row r="8" spans="1:6" ht="30">
      <c r="A8" s="947">
        <v>5</v>
      </c>
      <c r="B8" s="890" t="s">
        <v>1144</v>
      </c>
      <c r="C8" s="891" t="s">
        <v>21</v>
      </c>
      <c r="D8" s="1331">
        <v>438.9</v>
      </c>
      <c r="E8" s="1332">
        <v>376.2</v>
      </c>
    </row>
    <row r="9" spans="1:6">
      <c r="A9" s="947">
        <v>6</v>
      </c>
      <c r="B9" s="890" t="s">
        <v>1145</v>
      </c>
      <c r="C9" s="891" t="s">
        <v>21</v>
      </c>
      <c r="D9" s="892">
        <v>408.1</v>
      </c>
      <c r="E9" s="893">
        <v>349.8</v>
      </c>
    </row>
    <row r="10" spans="1:6" ht="30">
      <c r="A10" s="947">
        <v>7</v>
      </c>
      <c r="B10" s="890" t="s">
        <v>1146</v>
      </c>
      <c r="C10" s="891" t="s">
        <v>21</v>
      </c>
      <c r="D10" s="1331">
        <v>273.39999999999998</v>
      </c>
      <c r="E10" s="1332">
        <v>234.3</v>
      </c>
    </row>
    <row r="11" spans="1:6">
      <c r="A11" s="947">
        <v>8</v>
      </c>
      <c r="B11" s="890" t="s">
        <v>1147</v>
      </c>
      <c r="C11" s="891" t="s">
        <v>21</v>
      </c>
      <c r="D11" s="892">
        <v>300.3</v>
      </c>
      <c r="E11" s="893">
        <v>257.39999999999998</v>
      </c>
    </row>
    <row r="12" spans="1:6">
      <c r="A12" s="947">
        <v>9</v>
      </c>
      <c r="B12" s="890" t="s">
        <v>1148</v>
      </c>
      <c r="C12" s="891" t="s">
        <v>21</v>
      </c>
      <c r="D12" s="892">
        <v>65.5</v>
      </c>
      <c r="E12" s="893">
        <v>56.1</v>
      </c>
    </row>
    <row r="13" spans="1:6">
      <c r="A13" s="947">
        <v>10</v>
      </c>
      <c r="B13" s="890" t="s">
        <v>1149</v>
      </c>
      <c r="C13" s="891" t="s">
        <v>21</v>
      </c>
      <c r="D13" s="892">
        <v>65.5</v>
      </c>
      <c r="E13" s="893">
        <v>56.1</v>
      </c>
    </row>
    <row r="14" spans="1:6">
      <c r="A14" s="947">
        <v>11</v>
      </c>
      <c r="B14" s="890" t="s">
        <v>1150</v>
      </c>
      <c r="C14" s="891" t="s">
        <v>21</v>
      </c>
      <c r="D14" s="892">
        <v>363.5</v>
      </c>
      <c r="E14" s="893">
        <v>311.5</v>
      </c>
    </row>
    <row r="15" spans="1:6">
      <c r="A15" s="947">
        <v>12</v>
      </c>
      <c r="B15" s="890" t="s">
        <v>1151</v>
      </c>
      <c r="C15" s="891" t="s">
        <v>21</v>
      </c>
      <c r="D15" s="892">
        <v>50.1</v>
      </c>
      <c r="E15" s="893">
        <v>42.9</v>
      </c>
    </row>
    <row r="16" spans="1:6">
      <c r="A16" s="947">
        <v>13</v>
      </c>
      <c r="B16" s="890" t="s">
        <v>1152</v>
      </c>
      <c r="C16" s="891" t="s">
        <v>21</v>
      </c>
      <c r="D16" s="892">
        <v>50.1</v>
      </c>
      <c r="E16" s="893">
        <v>42.9</v>
      </c>
    </row>
    <row r="17" spans="1:5">
      <c r="A17" s="947">
        <v>14</v>
      </c>
      <c r="B17" s="890" t="s">
        <v>1153</v>
      </c>
      <c r="C17" s="891" t="s">
        <v>21</v>
      </c>
      <c r="D17" s="892">
        <v>69.3</v>
      </c>
      <c r="E17" s="893">
        <v>59.4</v>
      </c>
    </row>
    <row r="18" spans="1:5">
      <c r="A18" s="947">
        <v>15</v>
      </c>
      <c r="B18" s="890" t="s">
        <v>1154</v>
      </c>
      <c r="C18" s="891" t="s">
        <v>21</v>
      </c>
      <c r="D18" s="892">
        <v>408.1</v>
      </c>
      <c r="E18" s="893">
        <v>349.8</v>
      </c>
    </row>
    <row r="19" spans="1:5" ht="30">
      <c r="A19" s="947">
        <v>16</v>
      </c>
      <c r="B19" s="890" t="s">
        <v>1155</v>
      </c>
      <c r="C19" s="891" t="s">
        <v>21</v>
      </c>
      <c r="D19" s="892">
        <v>438.9</v>
      </c>
      <c r="E19" s="893">
        <v>376.2</v>
      </c>
    </row>
    <row r="20" spans="1:5">
      <c r="A20" s="947">
        <v>17</v>
      </c>
      <c r="B20" s="890" t="s">
        <v>1156</v>
      </c>
      <c r="C20" s="891" t="s">
        <v>21</v>
      </c>
      <c r="D20" s="892">
        <v>273.39999999999998</v>
      </c>
      <c r="E20" s="893">
        <v>234.3</v>
      </c>
    </row>
    <row r="21" spans="1:5">
      <c r="A21" s="948">
        <v>18</v>
      </c>
      <c r="B21" s="890" t="s">
        <v>1157</v>
      </c>
      <c r="C21" s="891" t="s">
        <v>21</v>
      </c>
      <c r="D21" s="892">
        <v>300.3</v>
      </c>
      <c r="E21" s="893">
        <v>257.39999999999998</v>
      </c>
    </row>
    <row r="22" spans="1:5">
      <c r="A22" s="948">
        <v>19</v>
      </c>
      <c r="B22" s="890" t="s">
        <v>1158</v>
      </c>
      <c r="C22" s="891" t="s">
        <v>21</v>
      </c>
      <c r="D22" s="892">
        <v>53.9</v>
      </c>
      <c r="E22" s="893">
        <v>46.2</v>
      </c>
    </row>
    <row r="23" spans="1:5">
      <c r="A23" s="948">
        <v>20</v>
      </c>
      <c r="B23" s="890" t="s">
        <v>1159</v>
      </c>
      <c r="C23" s="891" t="s">
        <v>21</v>
      </c>
      <c r="D23" s="892">
        <v>53.9</v>
      </c>
      <c r="E23" s="893">
        <v>46.2</v>
      </c>
    </row>
    <row r="24" spans="1:5" ht="30">
      <c r="A24" s="948">
        <v>21</v>
      </c>
      <c r="B24" s="890" t="s">
        <v>1160</v>
      </c>
      <c r="C24" s="891" t="s">
        <v>21</v>
      </c>
      <c r="D24" s="1331">
        <v>88.6</v>
      </c>
      <c r="E24" s="1332">
        <v>75.900000000000006</v>
      </c>
    </row>
    <row r="25" spans="1:5" ht="30">
      <c r="A25" s="948">
        <v>22</v>
      </c>
      <c r="B25" s="890" t="s">
        <v>1161</v>
      </c>
      <c r="C25" s="891" t="s">
        <v>21</v>
      </c>
      <c r="D25" s="1331">
        <v>88.6</v>
      </c>
      <c r="E25" s="1332">
        <v>75.900000000000006</v>
      </c>
    </row>
    <row r="26" spans="1:5">
      <c r="A26" s="948">
        <v>23</v>
      </c>
      <c r="B26" s="890" t="s">
        <v>1162</v>
      </c>
      <c r="C26" s="891" t="s">
        <v>21</v>
      </c>
      <c r="D26" s="892">
        <v>119.4</v>
      </c>
      <c r="E26" s="893">
        <v>102.3</v>
      </c>
    </row>
    <row r="27" spans="1:5">
      <c r="A27" s="948">
        <v>24</v>
      </c>
      <c r="B27" s="890" t="s">
        <v>1163</v>
      </c>
      <c r="C27" s="891" t="s">
        <v>21</v>
      </c>
      <c r="D27" s="892">
        <v>119.4</v>
      </c>
      <c r="E27" s="893">
        <v>102.3</v>
      </c>
    </row>
    <row r="28" spans="1:5">
      <c r="A28" s="948">
        <v>25</v>
      </c>
      <c r="B28" s="890" t="s">
        <v>1164</v>
      </c>
      <c r="C28" s="891" t="s">
        <v>21</v>
      </c>
      <c r="D28" s="892">
        <v>197.4</v>
      </c>
      <c r="E28" s="893">
        <v>169.2</v>
      </c>
    </row>
    <row r="29" spans="1:5">
      <c r="A29" s="948">
        <v>26</v>
      </c>
      <c r="B29" s="890" t="s">
        <v>1165</v>
      </c>
      <c r="C29" s="891" t="s">
        <v>21</v>
      </c>
      <c r="D29" s="892">
        <v>432.6</v>
      </c>
      <c r="E29" s="893">
        <v>370.8</v>
      </c>
    </row>
    <row r="30" spans="1:5">
      <c r="A30" s="948">
        <v>27</v>
      </c>
      <c r="B30" s="890" t="s">
        <v>1166</v>
      </c>
      <c r="C30" s="891" t="s">
        <v>21</v>
      </c>
      <c r="D30" s="892">
        <v>67.2</v>
      </c>
      <c r="E30" s="893">
        <v>57.6</v>
      </c>
    </row>
    <row r="31" spans="1:5">
      <c r="A31" s="948">
        <v>28</v>
      </c>
      <c r="B31" s="890" t="s">
        <v>1167</v>
      </c>
      <c r="C31" s="891" t="s">
        <v>21</v>
      </c>
      <c r="D31" s="892">
        <v>180.6</v>
      </c>
      <c r="E31" s="893">
        <v>154.80000000000001</v>
      </c>
    </row>
    <row r="32" spans="1:5">
      <c r="A32" s="948">
        <v>29</v>
      </c>
      <c r="B32" s="890" t="s">
        <v>1168</v>
      </c>
      <c r="C32" s="891" t="s">
        <v>21</v>
      </c>
      <c r="D32" s="892">
        <v>189</v>
      </c>
      <c r="E32" s="893">
        <v>162</v>
      </c>
    </row>
    <row r="33" spans="1:5">
      <c r="A33" s="948">
        <v>30</v>
      </c>
      <c r="B33" s="890" t="s">
        <v>1169</v>
      </c>
      <c r="C33" s="891" t="s">
        <v>21</v>
      </c>
      <c r="D33" s="892">
        <v>96.6</v>
      </c>
      <c r="E33" s="893">
        <v>82.8</v>
      </c>
    </row>
    <row r="34" spans="1:5">
      <c r="A34" s="948">
        <v>31</v>
      </c>
      <c r="B34" s="890" t="s">
        <v>1170</v>
      </c>
      <c r="C34" s="891" t="s">
        <v>21</v>
      </c>
      <c r="D34" s="892">
        <v>105</v>
      </c>
      <c r="E34" s="893">
        <v>90</v>
      </c>
    </row>
    <row r="35" spans="1:5">
      <c r="A35" s="948">
        <v>32</v>
      </c>
      <c r="B35" s="890" t="s">
        <v>1171</v>
      </c>
      <c r="C35" s="891" t="s">
        <v>21</v>
      </c>
      <c r="D35" s="892">
        <v>193.2</v>
      </c>
      <c r="E35" s="893">
        <v>165.6</v>
      </c>
    </row>
    <row r="36" spans="1:5">
      <c r="A36" s="948">
        <v>33</v>
      </c>
      <c r="B36" s="890" t="s">
        <v>1172</v>
      </c>
      <c r="C36" s="891" t="s">
        <v>21</v>
      </c>
      <c r="D36" s="892">
        <v>579.6</v>
      </c>
      <c r="E36" s="893">
        <v>496.8</v>
      </c>
    </row>
    <row r="37" spans="1:5">
      <c r="A37" s="948">
        <v>34</v>
      </c>
      <c r="B37" s="890" t="s">
        <v>1173</v>
      </c>
      <c r="C37" s="891" t="s">
        <v>21</v>
      </c>
      <c r="D37" s="892">
        <v>344.4</v>
      </c>
      <c r="E37" s="893">
        <v>295.2</v>
      </c>
    </row>
    <row r="38" spans="1:5">
      <c r="A38" s="948">
        <v>35</v>
      </c>
      <c r="B38" s="890" t="s">
        <v>1174</v>
      </c>
      <c r="C38" s="891" t="s">
        <v>21</v>
      </c>
      <c r="D38" s="892">
        <v>344.4</v>
      </c>
      <c r="E38" s="893">
        <v>295.2</v>
      </c>
    </row>
    <row r="39" spans="1:5">
      <c r="A39" s="948">
        <v>36</v>
      </c>
      <c r="B39" s="890" t="s">
        <v>1175</v>
      </c>
      <c r="C39" s="891" t="s">
        <v>21</v>
      </c>
      <c r="D39" s="892">
        <v>197.4</v>
      </c>
      <c r="E39" s="893">
        <v>169.2</v>
      </c>
    </row>
    <row r="40" spans="1:5">
      <c r="A40" s="948">
        <v>37</v>
      </c>
      <c r="B40" s="890" t="s">
        <v>1176</v>
      </c>
      <c r="C40" s="891" t="s">
        <v>21</v>
      </c>
      <c r="D40" s="892">
        <v>432.6</v>
      </c>
      <c r="E40" s="893">
        <v>370.8</v>
      </c>
    </row>
    <row r="41" spans="1:5">
      <c r="A41" s="948">
        <v>38</v>
      </c>
      <c r="B41" s="890" t="s">
        <v>1177</v>
      </c>
      <c r="C41" s="891" t="s">
        <v>21</v>
      </c>
      <c r="D41" s="892">
        <v>67.2</v>
      </c>
      <c r="E41" s="893">
        <v>57.6</v>
      </c>
    </row>
    <row r="42" spans="1:5">
      <c r="A42" s="948">
        <v>39</v>
      </c>
      <c r="B42" s="890" t="s">
        <v>1178</v>
      </c>
      <c r="C42" s="891" t="s">
        <v>21</v>
      </c>
      <c r="D42" s="892">
        <v>180.6</v>
      </c>
      <c r="E42" s="893">
        <v>154.80000000000001</v>
      </c>
    </row>
    <row r="43" spans="1:5">
      <c r="A43" s="948">
        <v>40</v>
      </c>
      <c r="B43" s="890" t="s">
        <v>1179</v>
      </c>
      <c r="C43" s="891" t="s">
        <v>21</v>
      </c>
      <c r="D43" s="894">
        <v>189</v>
      </c>
      <c r="E43" s="895">
        <v>162</v>
      </c>
    </row>
    <row r="44" spans="1:5">
      <c r="A44" s="948">
        <v>41</v>
      </c>
      <c r="B44" s="890" t="s">
        <v>1180</v>
      </c>
      <c r="C44" s="891" t="s">
        <v>21</v>
      </c>
      <c r="D44" s="894">
        <v>96.6</v>
      </c>
      <c r="E44" s="895">
        <v>82.8</v>
      </c>
    </row>
    <row r="45" spans="1:5">
      <c r="A45" s="948">
        <v>42</v>
      </c>
      <c r="B45" s="890" t="s">
        <v>1181</v>
      </c>
      <c r="C45" s="891" t="s">
        <v>21</v>
      </c>
      <c r="D45" s="892">
        <v>105</v>
      </c>
      <c r="E45" s="893">
        <v>90</v>
      </c>
    </row>
    <row r="46" spans="1:5">
      <c r="A46" s="948">
        <v>43</v>
      </c>
      <c r="B46" s="890" t="s">
        <v>1182</v>
      </c>
      <c r="C46" s="891" t="s">
        <v>21</v>
      </c>
      <c r="D46" s="892">
        <v>193.2</v>
      </c>
      <c r="E46" s="893">
        <v>165.6</v>
      </c>
    </row>
    <row r="47" spans="1:5" ht="30" customHeight="1">
      <c r="A47" s="948">
        <v>44</v>
      </c>
      <c r="B47" s="890" t="s">
        <v>1183</v>
      </c>
      <c r="C47" s="891" t="s">
        <v>21</v>
      </c>
      <c r="D47" s="1331">
        <v>579.6</v>
      </c>
      <c r="E47" s="1332">
        <v>496.8</v>
      </c>
    </row>
    <row r="48" spans="1:5">
      <c r="A48" s="948">
        <v>45</v>
      </c>
      <c r="B48" s="890" t="s">
        <v>1184</v>
      </c>
      <c r="C48" s="891" t="s">
        <v>21</v>
      </c>
      <c r="D48" s="892">
        <v>344.4</v>
      </c>
      <c r="E48" s="893">
        <v>295.2</v>
      </c>
    </row>
    <row r="49" spans="1:5">
      <c r="A49" s="948">
        <v>46</v>
      </c>
      <c r="B49" s="890" t="s">
        <v>1185</v>
      </c>
      <c r="C49" s="891" t="s">
        <v>21</v>
      </c>
      <c r="D49" s="892">
        <v>344.4</v>
      </c>
      <c r="E49" s="893">
        <v>295.2</v>
      </c>
    </row>
    <row r="50" spans="1:5">
      <c r="A50" s="948">
        <v>47</v>
      </c>
      <c r="B50" s="890" t="s">
        <v>1186</v>
      </c>
      <c r="C50" s="891" t="s">
        <v>21</v>
      </c>
      <c r="D50" s="892">
        <v>113.4</v>
      </c>
      <c r="E50" s="893">
        <v>97.2</v>
      </c>
    </row>
    <row r="51" spans="1:5">
      <c r="A51" s="948">
        <v>48</v>
      </c>
      <c r="B51" s="890" t="s">
        <v>1187</v>
      </c>
      <c r="C51" s="891" t="s">
        <v>21</v>
      </c>
      <c r="D51" s="892">
        <v>113.4</v>
      </c>
      <c r="E51" s="893">
        <v>97.2</v>
      </c>
    </row>
    <row r="52" spans="1:5" ht="21" customHeight="1">
      <c r="A52" s="948">
        <v>49</v>
      </c>
      <c r="B52" s="896" t="s">
        <v>1188</v>
      </c>
      <c r="C52" s="891" t="s">
        <v>21</v>
      </c>
      <c r="D52" s="1331">
        <v>184.8</v>
      </c>
      <c r="E52" s="1332">
        <v>158.4</v>
      </c>
    </row>
    <row r="53" spans="1:5" ht="27" customHeight="1">
      <c r="A53" s="948">
        <v>50</v>
      </c>
      <c r="B53" s="896" t="s">
        <v>1189</v>
      </c>
      <c r="C53" s="891" t="s">
        <v>21</v>
      </c>
      <c r="D53" s="1331">
        <v>184.8</v>
      </c>
      <c r="E53" s="1332">
        <v>158.4</v>
      </c>
    </row>
  </sheetData>
  <customSheetViews>
    <customSheetView guid="{FBB3E572-A647-4B8C-96C7-F43FE4F7CAA8}" showPageBreaks="1">
      <selection activeCell="D52" sqref="D52:E53"/>
      <pageMargins left="0.7" right="0.7" top="0.75" bottom="0.75" header="0.3" footer="0.3"/>
      <pageSetup paperSize="9" orientation="portrait" horizontalDpi="0" verticalDpi="0" r:id="rId1"/>
    </customSheetView>
    <customSheetView guid="{900EF7B2-0D63-4DE2-9CFC-2D2B3788802C}" topLeftCell="A40">
      <selection activeCell="D52" sqref="D52:E53"/>
      <pageMargins left="0.7" right="0.7" top="0.75" bottom="0.75" header="0.3" footer="0.3"/>
      <pageSetup paperSize="9" orientation="portrait" horizontalDpi="0" verticalDpi="0" r:id="rId2"/>
    </customSheetView>
    <customSheetView guid="{CC6D6007-EFDE-464F-BD7C-A67043AC5D5C}">
      <selection activeCell="D52" sqref="D52:E53"/>
      <pageMargins left="0.7" right="0.7" top="0.75" bottom="0.75" header="0.3" footer="0.3"/>
      <pageSetup paperSize="9" orientation="portrait" horizontalDpi="0" verticalDpi="0" r:id="rId3"/>
    </customSheetView>
    <customSheetView guid="{C0FE86CC-5BB4-4265-957F-F51B909B3E81}">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26.xml><?xml version="1.0" encoding="utf-8"?>
<worksheet xmlns="http://schemas.openxmlformats.org/spreadsheetml/2006/main" xmlns:r="http://schemas.openxmlformats.org/officeDocument/2006/relationships">
  <dimension ref="A1:Y34"/>
  <sheetViews>
    <sheetView workbookViewId="0">
      <selection activeCell="N4" sqref="N4"/>
    </sheetView>
  </sheetViews>
  <sheetFormatPr defaultRowHeight="15"/>
  <cols>
    <col min="1" max="1" width="10.140625" customWidth="1"/>
    <col min="2" max="2" width="13.5703125" customWidth="1"/>
  </cols>
  <sheetData>
    <row r="1" spans="1:25" ht="26.25">
      <c r="A1" s="981" t="s">
        <v>1285</v>
      </c>
      <c r="B1" s="981"/>
      <c r="C1" s="981"/>
      <c r="D1" s="981"/>
      <c r="E1" s="982"/>
      <c r="F1" s="983"/>
      <c r="G1" s="983"/>
      <c r="H1" s="983"/>
      <c r="I1" s="983"/>
      <c r="J1" s="983"/>
      <c r="K1" s="983"/>
      <c r="L1" s="952"/>
      <c r="M1" s="952"/>
      <c r="N1" s="952"/>
      <c r="O1" s="952"/>
      <c r="P1" s="952"/>
      <c r="Q1" s="952"/>
      <c r="R1" s="952"/>
      <c r="S1" s="952"/>
    </row>
    <row r="2" spans="1:25" ht="189">
      <c r="A2" s="984" t="s">
        <v>1136</v>
      </c>
      <c r="B2" s="985"/>
      <c r="C2" s="986" t="s">
        <v>1236</v>
      </c>
      <c r="D2" s="986" t="s">
        <v>1234</v>
      </c>
      <c r="E2" s="986" t="s">
        <v>1235</v>
      </c>
      <c r="F2" s="990" t="s">
        <v>1283</v>
      </c>
      <c r="G2" s="898"/>
      <c r="H2" s="898"/>
      <c r="I2" s="898"/>
      <c r="J2" s="898"/>
      <c r="K2" s="898"/>
      <c r="L2" s="898"/>
      <c r="M2" s="898"/>
      <c r="N2" s="898"/>
      <c r="O2" s="898"/>
      <c r="P2" s="898"/>
      <c r="Q2" s="898"/>
      <c r="R2" s="898"/>
      <c r="S2" s="899"/>
      <c r="T2" s="999" t="s">
        <v>1284</v>
      </c>
      <c r="U2" s="901"/>
      <c r="V2" s="901"/>
      <c r="W2" s="901"/>
      <c r="X2" s="901"/>
      <c r="Y2" s="902"/>
    </row>
    <row r="3" spans="1:25" ht="127.5">
      <c r="A3" s="903"/>
      <c r="B3" s="904"/>
      <c r="C3" s="905"/>
      <c r="D3" s="905"/>
      <c r="E3" s="905"/>
      <c r="F3" s="987" t="s">
        <v>1270</v>
      </c>
      <c r="G3" s="988" t="s">
        <v>1271</v>
      </c>
      <c r="H3" s="989"/>
      <c r="I3" s="988" t="s">
        <v>1272</v>
      </c>
      <c r="J3" s="989"/>
      <c r="K3" s="987" t="s">
        <v>1273</v>
      </c>
      <c r="L3" s="987" t="s">
        <v>1274</v>
      </c>
      <c r="M3" s="987" t="s">
        <v>1275</v>
      </c>
      <c r="N3" s="987" t="s">
        <v>1276</v>
      </c>
      <c r="O3" s="987" t="s">
        <v>1277</v>
      </c>
      <c r="P3" s="987" t="s">
        <v>1278</v>
      </c>
      <c r="Q3" s="987" t="s">
        <v>1279</v>
      </c>
      <c r="R3" s="987" t="s">
        <v>1280</v>
      </c>
      <c r="S3" s="987" t="s">
        <v>1281</v>
      </c>
      <c r="T3" s="980" t="s">
        <v>1282</v>
      </c>
      <c r="U3" s="906"/>
      <c r="V3" s="906"/>
      <c r="W3" s="906"/>
      <c r="X3" s="906"/>
      <c r="Y3" s="907"/>
    </row>
    <row r="4" spans="1:25">
      <c r="A4" s="903"/>
      <c r="B4" s="904"/>
      <c r="C4" s="905"/>
      <c r="D4" s="905"/>
      <c r="E4" s="905"/>
      <c r="F4" s="905"/>
      <c r="G4" s="908"/>
      <c r="H4" s="909"/>
      <c r="I4" s="908"/>
      <c r="J4" s="909"/>
      <c r="K4" s="910"/>
      <c r="L4" s="910"/>
      <c r="M4" s="910"/>
      <c r="N4" s="910"/>
      <c r="O4" s="910"/>
      <c r="P4" s="910"/>
      <c r="Q4" s="910"/>
      <c r="R4" s="910"/>
      <c r="S4" s="910"/>
      <c r="T4" s="996">
        <v>0.4</v>
      </c>
      <c r="U4" s="997">
        <v>0.45</v>
      </c>
      <c r="V4" s="996">
        <v>0.5</v>
      </c>
      <c r="W4" s="998">
        <v>0.7</v>
      </c>
      <c r="X4" s="998">
        <v>0.8</v>
      </c>
      <c r="Y4" s="998">
        <v>0.9</v>
      </c>
    </row>
    <row r="5" spans="1:25" ht="27">
      <c r="A5" s="903"/>
      <c r="B5" s="904"/>
      <c r="C5" s="905"/>
      <c r="D5" s="905"/>
      <c r="E5" s="905"/>
      <c r="F5" s="911"/>
      <c r="G5" s="912" t="s">
        <v>1190</v>
      </c>
      <c r="H5" s="913" t="s">
        <v>1191</v>
      </c>
      <c r="I5" s="912" t="s">
        <v>1190</v>
      </c>
      <c r="J5" s="914" t="s">
        <v>1191</v>
      </c>
      <c r="K5" s="915"/>
      <c r="L5" s="915"/>
      <c r="M5" s="915"/>
      <c r="N5" s="915"/>
      <c r="O5" s="915"/>
      <c r="P5" s="915"/>
      <c r="Q5" s="915"/>
      <c r="R5" s="915"/>
      <c r="S5" s="915"/>
      <c r="T5" s="916"/>
      <c r="U5" s="917"/>
      <c r="V5" s="916"/>
      <c r="W5" s="918"/>
      <c r="X5" s="918"/>
      <c r="Y5" s="918"/>
    </row>
    <row r="6" spans="1:25">
      <c r="A6" s="919"/>
      <c r="B6" s="920"/>
      <c r="C6" s="911"/>
      <c r="D6" s="911"/>
      <c r="E6" s="911"/>
      <c r="F6" s="991" t="s">
        <v>1192</v>
      </c>
      <c r="G6" s="992">
        <v>0.45</v>
      </c>
      <c r="H6" s="992">
        <v>0.45</v>
      </c>
      <c r="I6" s="993">
        <v>0.5</v>
      </c>
      <c r="J6" s="993">
        <v>0.5</v>
      </c>
      <c r="K6" s="991" t="s">
        <v>1193</v>
      </c>
      <c r="L6" s="993">
        <v>0.5</v>
      </c>
      <c r="M6" s="993">
        <v>0.5</v>
      </c>
      <c r="N6" s="993">
        <v>0.7</v>
      </c>
      <c r="O6" s="994">
        <v>0.45</v>
      </c>
      <c r="P6" s="995">
        <v>0.5</v>
      </c>
      <c r="Q6" s="991" t="s">
        <v>1193</v>
      </c>
      <c r="R6" s="992">
        <v>0.45</v>
      </c>
      <c r="S6" s="991" t="s">
        <v>1193</v>
      </c>
      <c r="T6" s="922"/>
      <c r="U6" s="923"/>
      <c r="V6" s="922"/>
      <c r="W6" s="924"/>
      <c r="X6" s="924"/>
      <c r="Y6" s="924"/>
    </row>
    <row r="7" spans="1:25" ht="27">
      <c r="A7" s="1000">
        <v>1</v>
      </c>
      <c r="B7" s="914" t="s">
        <v>1194</v>
      </c>
      <c r="C7" s="953">
        <v>1180</v>
      </c>
      <c r="D7" s="953">
        <v>1100</v>
      </c>
      <c r="E7" s="954" t="s">
        <v>1237</v>
      </c>
      <c r="F7" s="955">
        <v>305</v>
      </c>
      <c r="G7" s="955">
        <v>357</v>
      </c>
      <c r="H7" s="955">
        <v>395</v>
      </c>
      <c r="I7" s="955">
        <v>430</v>
      </c>
      <c r="J7" s="955">
        <v>495</v>
      </c>
      <c r="K7" s="955">
        <v>460</v>
      </c>
      <c r="L7" s="955">
        <v>490</v>
      </c>
      <c r="M7" s="954" t="s">
        <v>1238</v>
      </c>
      <c r="N7" s="954" t="s">
        <v>1238</v>
      </c>
      <c r="O7" s="956">
        <v>435</v>
      </c>
      <c r="P7" s="956">
        <v>530</v>
      </c>
      <c r="Q7" s="955">
        <v>585</v>
      </c>
      <c r="R7" s="955">
        <v>600</v>
      </c>
      <c r="S7" s="955">
        <v>765</v>
      </c>
      <c r="T7" s="957" t="s">
        <v>1238</v>
      </c>
      <c r="U7" s="958"/>
      <c r="V7" s="958"/>
      <c r="W7" s="958"/>
      <c r="X7" s="927"/>
      <c r="Y7" s="928"/>
    </row>
    <row r="8" spans="1:25" ht="25.5">
      <c r="A8" s="1000">
        <v>2</v>
      </c>
      <c r="B8" s="914" t="s">
        <v>1195</v>
      </c>
      <c r="C8" s="953">
        <v>1180</v>
      </c>
      <c r="D8" s="953">
        <v>1100</v>
      </c>
      <c r="E8" s="954" t="s">
        <v>1237</v>
      </c>
      <c r="F8" s="954" t="s">
        <v>1238</v>
      </c>
      <c r="G8" s="955">
        <v>369</v>
      </c>
      <c r="H8" s="955">
        <v>405</v>
      </c>
      <c r="I8" s="955">
        <v>440</v>
      </c>
      <c r="J8" s="955">
        <v>505</v>
      </c>
      <c r="K8" s="955">
        <v>470</v>
      </c>
      <c r="L8" s="959" t="s">
        <v>1239</v>
      </c>
      <c r="M8" s="954" t="s">
        <v>1238</v>
      </c>
      <c r="N8" s="954" t="s">
        <v>1238</v>
      </c>
      <c r="O8" s="956">
        <v>445</v>
      </c>
      <c r="P8" s="956">
        <v>540</v>
      </c>
      <c r="Q8" s="955">
        <v>595</v>
      </c>
      <c r="R8" s="955">
        <v>610</v>
      </c>
      <c r="S8" s="955">
        <v>775</v>
      </c>
      <c r="T8" s="960"/>
      <c r="U8" s="961"/>
      <c r="V8" s="961"/>
      <c r="W8" s="961"/>
      <c r="X8" s="929"/>
      <c r="Y8" s="930"/>
    </row>
    <row r="9" spans="1:25" ht="27">
      <c r="A9" s="1000">
        <v>3</v>
      </c>
      <c r="B9" s="914" t="s">
        <v>1196</v>
      </c>
      <c r="C9" s="953">
        <v>1170</v>
      </c>
      <c r="D9" s="953">
        <v>1110</v>
      </c>
      <c r="E9" s="954" t="s">
        <v>1237</v>
      </c>
      <c r="F9" s="954" t="s">
        <v>1238</v>
      </c>
      <c r="G9" s="955">
        <v>369</v>
      </c>
      <c r="H9" s="955">
        <v>405</v>
      </c>
      <c r="I9" s="955">
        <v>440</v>
      </c>
      <c r="J9" s="955">
        <v>505</v>
      </c>
      <c r="K9" s="955">
        <v>470</v>
      </c>
      <c r="L9" s="962"/>
      <c r="M9" s="954" t="s">
        <v>1238</v>
      </c>
      <c r="N9" s="954" t="s">
        <v>1238</v>
      </c>
      <c r="O9" s="956">
        <v>445</v>
      </c>
      <c r="P9" s="956">
        <v>540</v>
      </c>
      <c r="Q9" s="955">
        <v>595</v>
      </c>
      <c r="R9" s="955">
        <v>610</v>
      </c>
      <c r="S9" s="955">
        <v>775</v>
      </c>
      <c r="T9" s="960"/>
      <c r="U9" s="961"/>
      <c r="V9" s="961"/>
      <c r="W9" s="961"/>
      <c r="X9" s="929"/>
      <c r="Y9" s="930"/>
    </row>
    <row r="10" spans="1:25" ht="27">
      <c r="A10" s="1000">
        <v>4</v>
      </c>
      <c r="B10" s="914" t="s">
        <v>1197</v>
      </c>
      <c r="C10" s="953">
        <v>1175</v>
      </c>
      <c r="D10" s="953">
        <v>1075</v>
      </c>
      <c r="E10" s="954" t="s">
        <v>1237</v>
      </c>
      <c r="F10" s="955">
        <v>325</v>
      </c>
      <c r="G10" s="955">
        <v>379</v>
      </c>
      <c r="H10" s="955">
        <v>415</v>
      </c>
      <c r="I10" s="955">
        <v>450</v>
      </c>
      <c r="J10" s="955">
        <v>515</v>
      </c>
      <c r="K10" s="955">
        <v>480</v>
      </c>
      <c r="L10" s="955">
        <v>510</v>
      </c>
      <c r="M10" s="954" t="s">
        <v>1238</v>
      </c>
      <c r="N10" s="954" t="s">
        <v>1238</v>
      </c>
      <c r="O10" s="956">
        <v>455</v>
      </c>
      <c r="P10" s="956">
        <v>550</v>
      </c>
      <c r="Q10" s="955">
        <v>605</v>
      </c>
      <c r="R10" s="955">
        <v>620</v>
      </c>
      <c r="S10" s="955">
        <v>785</v>
      </c>
      <c r="T10" s="960"/>
      <c r="U10" s="961"/>
      <c r="V10" s="961"/>
      <c r="W10" s="961"/>
      <c r="X10" s="929"/>
      <c r="Y10" s="930"/>
    </row>
    <row r="11" spans="1:25" ht="18">
      <c r="A11" s="1000">
        <v>5</v>
      </c>
      <c r="B11" s="914" t="s">
        <v>1198</v>
      </c>
      <c r="C11" s="953">
        <v>1175</v>
      </c>
      <c r="D11" s="953">
        <v>1075</v>
      </c>
      <c r="E11" s="954" t="s">
        <v>1237</v>
      </c>
      <c r="F11" s="955">
        <v>335</v>
      </c>
      <c r="G11" s="955">
        <v>389</v>
      </c>
      <c r="H11" s="955">
        <v>425</v>
      </c>
      <c r="I11" s="955">
        <v>460</v>
      </c>
      <c r="J11" s="955">
        <v>525</v>
      </c>
      <c r="K11" s="955">
        <v>490</v>
      </c>
      <c r="L11" s="955">
        <v>520</v>
      </c>
      <c r="M11" s="954" t="s">
        <v>1238</v>
      </c>
      <c r="N11" s="954" t="s">
        <v>1238</v>
      </c>
      <c r="O11" s="956">
        <v>465</v>
      </c>
      <c r="P11" s="956">
        <v>560</v>
      </c>
      <c r="Q11" s="955">
        <v>615</v>
      </c>
      <c r="R11" s="955">
        <v>630</v>
      </c>
      <c r="S11" s="955">
        <v>795</v>
      </c>
      <c r="T11" s="960"/>
      <c r="U11" s="961"/>
      <c r="V11" s="961"/>
      <c r="W11" s="961"/>
      <c r="X11" s="929"/>
      <c r="Y11" s="930"/>
    </row>
    <row r="12" spans="1:25" ht="18">
      <c r="A12" s="1000">
        <v>6</v>
      </c>
      <c r="B12" s="914" t="s">
        <v>1199</v>
      </c>
      <c r="C12" s="953">
        <v>1190</v>
      </c>
      <c r="D12" s="953">
        <v>1145</v>
      </c>
      <c r="E12" s="954" t="s">
        <v>1237</v>
      </c>
      <c r="F12" s="955">
        <v>325</v>
      </c>
      <c r="G12" s="955">
        <v>379</v>
      </c>
      <c r="H12" s="955">
        <v>415</v>
      </c>
      <c r="I12" s="955">
        <v>450</v>
      </c>
      <c r="J12" s="955">
        <v>515</v>
      </c>
      <c r="K12" s="955">
        <v>480</v>
      </c>
      <c r="L12" s="955">
        <v>510</v>
      </c>
      <c r="M12" s="954" t="s">
        <v>1238</v>
      </c>
      <c r="N12" s="954" t="s">
        <v>1238</v>
      </c>
      <c r="O12" s="956">
        <v>455</v>
      </c>
      <c r="P12" s="956">
        <v>550</v>
      </c>
      <c r="Q12" s="955">
        <v>605</v>
      </c>
      <c r="R12" s="955">
        <v>620</v>
      </c>
      <c r="S12" s="955">
        <v>785</v>
      </c>
      <c r="T12" s="960"/>
      <c r="U12" s="961"/>
      <c r="V12" s="961"/>
      <c r="W12" s="961"/>
      <c r="X12" s="929"/>
      <c r="Y12" s="930"/>
    </row>
    <row r="13" spans="1:25" ht="18">
      <c r="A13" s="1000">
        <v>7</v>
      </c>
      <c r="B13" s="914" t="s">
        <v>1200</v>
      </c>
      <c r="C13" s="953">
        <v>1190</v>
      </c>
      <c r="D13" s="953">
        <v>1145</v>
      </c>
      <c r="E13" s="954" t="s">
        <v>1237</v>
      </c>
      <c r="F13" s="955">
        <v>335</v>
      </c>
      <c r="G13" s="955">
        <v>389</v>
      </c>
      <c r="H13" s="955">
        <v>425</v>
      </c>
      <c r="I13" s="955">
        <v>460</v>
      </c>
      <c r="J13" s="955">
        <v>525</v>
      </c>
      <c r="K13" s="955">
        <v>490</v>
      </c>
      <c r="L13" s="955">
        <v>520</v>
      </c>
      <c r="M13" s="954" t="s">
        <v>1238</v>
      </c>
      <c r="N13" s="954" t="s">
        <v>1238</v>
      </c>
      <c r="O13" s="956">
        <v>465</v>
      </c>
      <c r="P13" s="956">
        <v>560</v>
      </c>
      <c r="Q13" s="955">
        <v>615</v>
      </c>
      <c r="R13" s="955">
        <v>630</v>
      </c>
      <c r="S13" s="955">
        <v>795</v>
      </c>
      <c r="T13" s="960"/>
      <c r="U13" s="961"/>
      <c r="V13" s="961"/>
      <c r="W13" s="961"/>
      <c r="X13" s="929"/>
      <c r="Y13" s="930"/>
    </row>
    <row r="14" spans="1:25" ht="15.75">
      <c r="A14" s="1000">
        <v>8</v>
      </c>
      <c r="B14" s="914" t="s">
        <v>1201</v>
      </c>
      <c r="C14" s="953">
        <v>1135</v>
      </c>
      <c r="D14" s="953">
        <v>1020</v>
      </c>
      <c r="E14" s="954" t="s">
        <v>1237</v>
      </c>
      <c r="F14" s="954" t="s">
        <v>1238</v>
      </c>
      <c r="G14" s="955">
        <v>399</v>
      </c>
      <c r="H14" s="955">
        <v>440</v>
      </c>
      <c r="I14" s="955">
        <v>470</v>
      </c>
      <c r="J14" s="955">
        <v>540</v>
      </c>
      <c r="K14" s="955">
        <v>500</v>
      </c>
      <c r="L14" s="955">
        <v>530</v>
      </c>
      <c r="M14" s="954" t="s">
        <v>1238</v>
      </c>
      <c r="N14" s="954" t="s">
        <v>1238</v>
      </c>
      <c r="O14" s="956">
        <v>475</v>
      </c>
      <c r="P14" s="956">
        <v>570</v>
      </c>
      <c r="Q14" s="955">
        <v>625</v>
      </c>
      <c r="R14" s="955">
        <v>640</v>
      </c>
      <c r="S14" s="955">
        <v>805</v>
      </c>
      <c r="T14" s="960"/>
      <c r="U14" s="961"/>
      <c r="V14" s="961"/>
      <c r="W14" s="961"/>
      <c r="X14" s="929"/>
      <c r="Y14" s="930"/>
    </row>
    <row r="15" spans="1:25" ht="18">
      <c r="A15" s="1000">
        <v>9</v>
      </c>
      <c r="B15" s="914" t="s">
        <v>1202</v>
      </c>
      <c r="C15" s="953">
        <v>1135</v>
      </c>
      <c r="D15" s="953">
        <v>1020</v>
      </c>
      <c r="E15" s="954" t="s">
        <v>1237</v>
      </c>
      <c r="F15" s="954" t="s">
        <v>1238</v>
      </c>
      <c r="G15" s="955">
        <v>395</v>
      </c>
      <c r="H15" s="955">
        <v>435</v>
      </c>
      <c r="I15" s="955">
        <v>465</v>
      </c>
      <c r="J15" s="955">
        <v>535</v>
      </c>
      <c r="K15" s="955">
        <v>495</v>
      </c>
      <c r="L15" s="955">
        <v>525</v>
      </c>
      <c r="M15" s="963"/>
      <c r="N15" s="954" t="s">
        <v>1238</v>
      </c>
      <c r="O15" s="956">
        <v>470</v>
      </c>
      <c r="P15" s="956">
        <v>565</v>
      </c>
      <c r="Q15" s="955">
        <v>620</v>
      </c>
      <c r="R15" s="955">
        <v>635</v>
      </c>
      <c r="S15" s="955">
        <v>800</v>
      </c>
      <c r="T15" s="964"/>
      <c r="U15" s="965"/>
      <c r="V15" s="965"/>
      <c r="W15" s="965"/>
      <c r="X15" s="932"/>
      <c r="Y15" s="933"/>
    </row>
    <row r="16" spans="1:25" ht="24" customHeight="1">
      <c r="A16" s="1000">
        <v>10</v>
      </c>
      <c r="B16" s="914" t="s">
        <v>1203</v>
      </c>
      <c r="C16" s="953">
        <v>375</v>
      </c>
      <c r="D16" s="953">
        <v>350</v>
      </c>
      <c r="E16" s="954" t="s">
        <v>1237</v>
      </c>
      <c r="F16" s="954" t="s">
        <v>1238</v>
      </c>
      <c r="G16" s="966" t="s">
        <v>1240</v>
      </c>
      <c r="H16" s="966" t="s">
        <v>1241</v>
      </c>
      <c r="I16" s="966" t="s">
        <v>1242</v>
      </c>
      <c r="J16" s="966" t="s">
        <v>1243</v>
      </c>
      <c r="K16" s="966" t="s">
        <v>1244</v>
      </c>
      <c r="L16" s="966" t="s">
        <v>1245</v>
      </c>
      <c r="M16" s="954" t="s">
        <v>1238</v>
      </c>
      <c r="N16" s="954" t="s">
        <v>1238</v>
      </c>
      <c r="O16" s="967" t="s">
        <v>1246</v>
      </c>
      <c r="P16" s="968" t="s">
        <v>1247</v>
      </c>
      <c r="Q16" s="966" t="s">
        <v>1248</v>
      </c>
      <c r="R16" s="966" t="s">
        <v>1249</v>
      </c>
      <c r="S16" s="969" t="s">
        <v>1250</v>
      </c>
      <c r="T16" s="970"/>
      <c r="U16" s="970"/>
      <c r="V16" s="970"/>
      <c r="W16" s="970"/>
      <c r="X16" s="935"/>
      <c r="Y16" s="897"/>
    </row>
    <row r="17" spans="1:25" ht="27">
      <c r="A17" s="1000">
        <v>11</v>
      </c>
      <c r="B17" s="914" t="s">
        <v>1204</v>
      </c>
      <c r="C17" s="953">
        <v>260</v>
      </c>
      <c r="D17" s="953">
        <v>226</v>
      </c>
      <c r="E17" s="954" t="s">
        <v>1237</v>
      </c>
      <c r="F17" s="954" t="s">
        <v>1238</v>
      </c>
      <c r="G17" s="966" t="s">
        <v>1251</v>
      </c>
      <c r="H17" s="966" t="s">
        <v>1252</v>
      </c>
      <c r="I17" s="966" t="s">
        <v>1253</v>
      </c>
      <c r="J17" s="966" t="s">
        <v>1245</v>
      </c>
      <c r="K17" s="966" t="s">
        <v>1254</v>
      </c>
      <c r="L17" s="966" t="s">
        <v>1255</v>
      </c>
      <c r="M17" s="954" t="s">
        <v>1238</v>
      </c>
      <c r="N17" s="963"/>
      <c r="O17" s="967" t="s">
        <v>1256</v>
      </c>
      <c r="P17" s="968" t="s">
        <v>1257</v>
      </c>
      <c r="Q17" s="966" t="s">
        <v>1258</v>
      </c>
      <c r="R17" s="966" t="s">
        <v>1259</v>
      </c>
      <c r="S17" s="971"/>
      <c r="T17" s="972"/>
      <c r="U17" s="972"/>
      <c r="V17" s="972"/>
      <c r="W17" s="972"/>
      <c r="X17" s="936"/>
      <c r="Y17" s="904"/>
    </row>
    <row r="18" spans="1:25" ht="18">
      <c r="A18" s="1000">
        <v>12</v>
      </c>
      <c r="B18" s="914" t="s">
        <v>1205</v>
      </c>
      <c r="C18" s="953">
        <v>264</v>
      </c>
      <c r="D18" s="953">
        <v>240</v>
      </c>
      <c r="E18" s="954" t="s">
        <v>1237</v>
      </c>
      <c r="F18" s="954" t="s">
        <v>1238</v>
      </c>
      <c r="G18" s="966" t="s">
        <v>1240</v>
      </c>
      <c r="H18" s="966" t="s">
        <v>1241</v>
      </c>
      <c r="I18" s="966" t="s">
        <v>1242</v>
      </c>
      <c r="J18" s="966" t="s">
        <v>1243</v>
      </c>
      <c r="K18" s="966" t="s">
        <v>1244</v>
      </c>
      <c r="L18" s="966" t="s">
        <v>1245</v>
      </c>
      <c r="M18" s="954" t="s">
        <v>1238</v>
      </c>
      <c r="N18" s="954" t="s">
        <v>1238</v>
      </c>
      <c r="O18" s="967" t="s">
        <v>1246</v>
      </c>
      <c r="P18" s="968" t="s">
        <v>1247</v>
      </c>
      <c r="Q18" s="966" t="s">
        <v>1248</v>
      </c>
      <c r="R18" s="966" t="s">
        <v>1249</v>
      </c>
      <c r="S18" s="971"/>
      <c r="T18" s="972"/>
      <c r="U18" s="972"/>
      <c r="V18" s="972"/>
      <c r="W18" s="972"/>
      <c r="X18" s="936"/>
      <c r="Y18" s="904"/>
    </row>
    <row r="19" spans="1:25" ht="15.75">
      <c r="A19" s="1000">
        <v>13</v>
      </c>
      <c r="B19" s="937" t="s">
        <v>1206</v>
      </c>
      <c r="C19" s="953">
        <v>264</v>
      </c>
      <c r="D19" s="953">
        <v>240</v>
      </c>
      <c r="E19" s="954" t="s">
        <v>1237</v>
      </c>
      <c r="F19" s="954" t="s">
        <v>1238</v>
      </c>
      <c r="G19" s="966" t="s">
        <v>1240</v>
      </c>
      <c r="H19" s="966" t="s">
        <v>1241</v>
      </c>
      <c r="I19" s="966" t="s">
        <v>1242</v>
      </c>
      <c r="J19" s="966" t="s">
        <v>1243</v>
      </c>
      <c r="K19" s="966" t="s">
        <v>1244</v>
      </c>
      <c r="L19" s="966" t="s">
        <v>1245</v>
      </c>
      <c r="M19" s="963"/>
      <c r="N19" s="963"/>
      <c r="O19" s="967" t="s">
        <v>1246</v>
      </c>
      <c r="P19" s="968" t="s">
        <v>1247</v>
      </c>
      <c r="Q19" s="966" t="s">
        <v>1248</v>
      </c>
      <c r="R19" s="966" t="s">
        <v>1249</v>
      </c>
      <c r="S19" s="973"/>
      <c r="T19" s="974"/>
      <c r="U19" s="974"/>
      <c r="V19" s="974"/>
      <c r="W19" s="974"/>
      <c r="X19" s="938"/>
      <c r="Y19" s="920"/>
    </row>
    <row r="20" spans="1:25" ht="18">
      <c r="A20" s="1000">
        <v>14</v>
      </c>
      <c r="B20" s="912" t="s">
        <v>1207</v>
      </c>
      <c r="C20" s="953">
        <v>1250</v>
      </c>
      <c r="D20" s="953">
        <v>1250</v>
      </c>
      <c r="E20" s="954" t="s">
        <v>1237</v>
      </c>
      <c r="F20" s="955">
        <v>285</v>
      </c>
      <c r="G20" s="955">
        <v>340</v>
      </c>
      <c r="H20" s="955">
        <v>375</v>
      </c>
      <c r="I20" s="955">
        <v>400</v>
      </c>
      <c r="J20" s="955">
        <v>460</v>
      </c>
      <c r="K20" s="955">
        <v>450</v>
      </c>
      <c r="L20" s="955">
        <v>480</v>
      </c>
      <c r="M20" s="955">
        <v>410</v>
      </c>
      <c r="N20" s="955">
        <v>479</v>
      </c>
      <c r="O20" s="956">
        <v>405</v>
      </c>
      <c r="P20" s="956">
        <v>520</v>
      </c>
      <c r="Q20" s="955">
        <v>575</v>
      </c>
      <c r="R20" s="955">
        <v>590</v>
      </c>
      <c r="S20" s="955">
        <v>755</v>
      </c>
      <c r="T20" s="967" t="s">
        <v>1260</v>
      </c>
      <c r="U20" s="975">
        <v>262</v>
      </c>
      <c r="V20" s="975">
        <v>285</v>
      </c>
      <c r="W20" s="976">
        <v>390</v>
      </c>
      <c r="X20" s="939" t="s">
        <v>1208</v>
      </c>
      <c r="Y20" s="940"/>
    </row>
    <row r="21" spans="1:25" ht="18">
      <c r="A21" s="1000">
        <v>15</v>
      </c>
      <c r="B21" s="912" t="s">
        <v>1209</v>
      </c>
      <c r="C21" s="953">
        <v>1170</v>
      </c>
      <c r="D21" s="953">
        <v>1120</v>
      </c>
      <c r="E21" s="954" t="s">
        <v>1237</v>
      </c>
      <c r="F21" s="955">
        <v>280</v>
      </c>
      <c r="G21" s="955">
        <v>335</v>
      </c>
      <c r="H21" s="955">
        <v>370</v>
      </c>
      <c r="I21" s="955">
        <v>395</v>
      </c>
      <c r="J21" s="955">
        <v>455</v>
      </c>
      <c r="K21" s="955">
        <v>445</v>
      </c>
      <c r="L21" s="955">
        <v>475</v>
      </c>
      <c r="M21" s="955">
        <v>405</v>
      </c>
      <c r="N21" s="954" t="s">
        <v>1238</v>
      </c>
      <c r="O21" s="956">
        <v>400</v>
      </c>
      <c r="P21" s="956">
        <v>515</v>
      </c>
      <c r="Q21" s="955">
        <v>570</v>
      </c>
      <c r="R21" s="955">
        <v>585</v>
      </c>
      <c r="S21" s="955">
        <v>750</v>
      </c>
      <c r="T21" s="977" t="s">
        <v>1261</v>
      </c>
      <c r="U21" s="963"/>
      <c r="V21" s="963"/>
      <c r="W21" s="963"/>
      <c r="X21" s="941"/>
      <c r="Y21" s="942"/>
    </row>
    <row r="22" spans="1:25" ht="15.75">
      <c r="A22" s="1000">
        <v>16</v>
      </c>
      <c r="B22" s="912" t="s">
        <v>1210</v>
      </c>
      <c r="C22" s="953">
        <v>1200</v>
      </c>
      <c r="D22" s="953">
        <v>1150</v>
      </c>
      <c r="E22" s="954" t="s">
        <v>1237</v>
      </c>
      <c r="F22" s="955">
        <v>275</v>
      </c>
      <c r="G22" s="955">
        <v>329</v>
      </c>
      <c r="H22" s="955">
        <v>365</v>
      </c>
      <c r="I22" s="955">
        <v>390</v>
      </c>
      <c r="J22" s="955">
        <v>450</v>
      </c>
      <c r="K22" s="955">
        <v>440</v>
      </c>
      <c r="L22" s="955">
        <v>470</v>
      </c>
      <c r="M22" s="955">
        <v>400</v>
      </c>
      <c r="N22" s="954" t="s">
        <v>1238</v>
      </c>
      <c r="O22" s="956">
        <v>395</v>
      </c>
      <c r="P22" s="956">
        <v>510</v>
      </c>
      <c r="Q22" s="955">
        <v>565</v>
      </c>
      <c r="R22" s="955">
        <v>580</v>
      </c>
      <c r="S22" s="975">
        <v>745</v>
      </c>
      <c r="T22" s="963"/>
      <c r="U22" s="975">
        <v>252</v>
      </c>
      <c r="V22" s="975">
        <v>275</v>
      </c>
      <c r="W22" s="963"/>
      <c r="X22" s="941"/>
      <c r="Y22" s="942"/>
    </row>
    <row r="23" spans="1:25" ht="15.75">
      <c r="A23" s="1000">
        <v>17</v>
      </c>
      <c r="B23" s="912" t="s">
        <v>1211</v>
      </c>
      <c r="C23" s="953">
        <v>1180</v>
      </c>
      <c r="D23" s="953">
        <v>1136</v>
      </c>
      <c r="E23" s="954" t="s">
        <v>1237</v>
      </c>
      <c r="F23" s="955">
        <v>280</v>
      </c>
      <c r="G23" s="955">
        <v>335</v>
      </c>
      <c r="H23" s="955">
        <v>370</v>
      </c>
      <c r="I23" s="955">
        <v>395</v>
      </c>
      <c r="J23" s="955">
        <v>455</v>
      </c>
      <c r="K23" s="955">
        <v>445</v>
      </c>
      <c r="L23" s="955">
        <v>475</v>
      </c>
      <c r="M23" s="955">
        <v>405</v>
      </c>
      <c r="N23" s="954" t="s">
        <v>1238</v>
      </c>
      <c r="O23" s="956">
        <v>400</v>
      </c>
      <c r="P23" s="956">
        <v>515</v>
      </c>
      <c r="Q23" s="955">
        <v>570</v>
      </c>
      <c r="R23" s="955">
        <v>585</v>
      </c>
      <c r="S23" s="955">
        <v>750</v>
      </c>
      <c r="T23" s="967" t="s">
        <v>1262</v>
      </c>
      <c r="U23" s="975">
        <v>258</v>
      </c>
      <c r="V23" s="975">
        <v>282</v>
      </c>
      <c r="W23" s="963"/>
      <c r="X23" s="941"/>
      <c r="Y23" s="942"/>
    </row>
    <row r="24" spans="1:25" ht="18">
      <c r="A24" s="1000">
        <v>18</v>
      </c>
      <c r="B24" s="912" t="s">
        <v>1212</v>
      </c>
      <c r="C24" s="953">
        <v>1180</v>
      </c>
      <c r="D24" s="953">
        <v>1136</v>
      </c>
      <c r="E24" s="954" t="s">
        <v>1237</v>
      </c>
      <c r="F24" s="955">
        <v>280</v>
      </c>
      <c r="G24" s="955">
        <v>335</v>
      </c>
      <c r="H24" s="955">
        <v>370</v>
      </c>
      <c r="I24" s="955">
        <v>395</v>
      </c>
      <c r="J24" s="955">
        <v>455</v>
      </c>
      <c r="K24" s="955">
        <v>445</v>
      </c>
      <c r="L24" s="955">
        <v>475</v>
      </c>
      <c r="M24" s="955">
        <v>405</v>
      </c>
      <c r="N24" s="963"/>
      <c r="O24" s="956">
        <v>400</v>
      </c>
      <c r="P24" s="956">
        <v>515</v>
      </c>
      <c r="Q24" s="955">
        <v>570</v>
      </c>
      <c r="R24" s="955">
        <v>585</v>
      </c>
      <c r="S24" s="955">
        <v>750</v>
      </c>
      <c r="T24" s="967" t="s">
        <v>1263</v>
      </c>
      <c r="U24" s="975">
        <v>258</v>
      </c>
      <c r="V24" s="975">
        <v>282</v>
      </c>
      <c r="W24" s="963"/>
      <c r="X24" s="941"/>
      <c r="Y24" s="942"/>
    </row>
    <row r="25" spans="1:25" ht="18">
      <c r="A25" s="1000">
        <v>19</v>
      </c>
      <c r="B25" s="912" t="s">
        <v>1213</v>
      </c>
      <c r="C25" s="953">
        <v>1180</v>
      </c>
      <c r="D25" s="953">
        <v>1136</v>
      </c>
      <c r="E25" s="954" t="s">
        <v>1237</v>
      </c>
      <c r="F25" s="955">
        <v>280</v>
      </c>
      <c r="G25" s="955">
        <v>335</v>
      </c>
      <c r="H25" s="955">
        <v>370</v>
      </c>
      <c r="I25" s="955">
        <v>395</v>
      </c>
      <c r="J25" s="955">
        <v>455</v>
      </c>
      <c r="K25" s="955">
        <v>445</v>
      </c>
      <c r="L25" s="955">
        <v>475</v>
      </c>
      <c r="M25" s="955">
        <v>405</v>
      </c>
      <c r="N25" s="963"/>
      <c r="O25" s="956">
        <v>400</v>
      </c>
      <c r="P25" s="956">
        <v>515</v>
      </c>
      <c r="Q25" s="955">
        <v>570</v>
      </c>
      <c r="R25" s="955">
        <v>585</v>
      </c>
      <c r="S25" s="955">
        <v>750</v>
      </c>
      <c r="T25" s="967" t="s">
        <v>1260</v>
      </c>
      <c r="U25" s="975">
        <v>258</v>
      </c>
      <c r="V25" s="975">
        <v>282</v>
      </c>
      <c r="W25" s="963"/>
      <c r="X25" s="941"/>
      <c r="Y25" s="942"/>
    </row>
    <row r="26" spans="1:25" ht="15.75">
      <c r="A26" s="1000">
        <v>20</v>
      </c>
      <c r="B26" s="912" t="s">
        <v>1214</v>
      </c>
      <c r="C26" s="953">
        <v>1156</v>
      </c>
      <c r="D26" s="953">
        <v>1100</v>
      </c>
      <c r="E26" s="954" t="s">
        <v>1237</v>
      </c>
      <c r="F26" s="955">
        <v>280</v>
      </c>
      <c r="G26" s="955">
        <v>335</v>
      </c>
      <c r="H26" s="955">
        <v>370</v>
      </c>
      <c r="I26" s="955">
        <v>395</v>
      </c>
      <c r="J26" s="955">
        <v>455</v>
      </c>
      <c r="K26" s="955">
        <v>445</v>
      </c>
      <c r="L26" s="955">
        <v>475</v>
      </c>
      <c r="M26" s="955">
        <v>405</v>
      </c>
      <c r="N26" s="963"/>
      <c r="O26" s="956">
        <v>400</v>
      </c>
      <c r="P26" s="956">
        <v>515</v>
      </c>
      <c r="Q26" s="955">
        <v>570</v>
      </c>
      <c r="R26" s="955">
        <v>585</v>
      </c>
      <c r="S26" s="955">
        <v>750</v>
      </c>
      <c r="T26" s="967" t="s">
        <v>1264</v>
      </c>
      <c r="U26" s="975">
        <v>258</v>
      </c>
      <c r="V26" s="975">
        <v>282</v>
      </c>
      <c r="W26" s="978">
        <v>385</v>
      </c>
      <c r="X26" s="941"/>
      <c r="Y26" s="942"/>
    </row>
    <row r="27" spans="1:25" ht="15.75">
      <c r="A27" s="1000">
        <v>21</v>
      </c>
      <c r="B27" s="912" t="s">
        <v>1215</v>
      </c>
      <c r="C27" s="953">
        <v>1180</v>
      </c>
      <c r="D27" s="953">
        <v>1150</v>
      </c>
      <c r="E27" s="954" t="s">
        <v>1237</v>
      </c>
      <c r="F27" s="955">
        <v>280</v>
      </c>
      <c r="G27" s="955">
        <v>335</v>
      </c>
      <c r="H27" s="955">
        <v>370</v>
      </c>
      <c r="I27" s="955">
        <v>395</v>
      </c>
      <c r="J27" s="955">
        <v>455</v>
      </c>
      <c r="K27" s="955">
        <v>445</v>
      </c>
      <c r="L27" s="955">
        <v>475</v>
      </c>
      <c r="M27" s="955">
        <v>405</v>
      </c>
      <c r="N27" s="955">
        <v>515</v>
      </c>
      <c r="O27" s="956">
        <v>400</v>
      </c>
      <c r="P27" s="956">
        <v>515</v>
      </c>
      <c r="Q27" s="955">
        <v>570</v>
      </c>
      <c r="R27" s="955">
        <v>585</v>
      </c>
      <c r="S27" s="955">
        <v>750</v>
      </c>
      <c r="T27" s="967" t="s">
        <v>1265</v>
      </c>
      <c r="U27" s="975">
        <v>258</v>
      </c>
      <c r="V27" s="975">
        <v>282</v>
      </c>
      <c r="W27" s="978">
        <v>385</v>
      </c>
      <c r="X27" s="941"/>
      <c r="Y27" s="942"/>
    </row>
    <row r="28" spans="1:25" ht="15.75">
      <c r="A28" s="1000">
        <v>22</v>
      </c>
      <c r="B28" s="912" t="s">
        <v>1216</v>
      </c>
      <c r="C28" s="953">
        <v>1150</v>
      </c>
      <c r="D28" s="953">
        <v>1100</v>
      </c>
      <c r="E28" s="954" t="s">
        <v>1237</v>
      </c>
      <c r="F28" s="955">
        <v>290</v>
      </c>
      <c r="G28" s="955">
        <v>345</v>
      </c>
      <c r="H28" s="955">
        <v>380</v>
      </c>
      <c r="I28" s="955">
        <v>405</v>
      </c>
      <c r="J28" s="955">
        <v>465</v>
      </c>
      <c r="K28" s="955">
        <v>455</v>
      </c>
      <c r="L28" s="955">
        <v>485</v>
      </c>
      <c r="M28" s="955">
        <v>415</v>
      </c>
      <c r="N28" s="955">
        <v>525</v>
      </c>
      <c r="O28" s="956">
        <v>410</v>
      </c>
      <c r="P28" s="956">
        <v>525</v>
      </c>
      <c r="Q28" s="955">
        <v>580</v>
      </c>
      <c r="R28" s="955">
        <v>595</v>
      </c>
      <c r="S28" s="955">
        <v>760</v>
      </c>
      <c r="T28" s="967" t="s">
        <v>1266</v>
      </c>
      <c r="U28" s="975">
        <v>263</v>
      </c>
      <c r="V28" s="975">
        <v>287</v>
      </c>
      <c r="W28" s="978">
        <v>395</v>
      </c>
      <c r="X28" s="941"/>
      <c r="Y28" s="942"/>
    </row>
    <row r="29" spans="1:25" ht="15.75">
      <c r="A29" s="1000">
        <v>23</v>
      </c>
      <c r="B29" s="912" t="s">
        <v>1217</v>
      </c>
      <c r="C29" s="953">
        <v>1051</v>
      </c>
      <c r="D29" s="953">
        <v>1000</v>
      </c>
      <c r="E29" s="954" t="s">
        <v>1237</v>
      </c>
      <c r="F29" s="954" t="s">
        <v>1238</v>
      </c>
      <c r="G29" s="955">
        <v>375</v>
      </c>
      <c r="H29" s="955">
        <v>415</v>
      </c>
      <c r="I29" s="955">
        <v>445</v>
      </c>
      <c r="J29" s="955">
        <v>510</v>
      </c>
      <c r="K29" s="955">
        <v>495</v>
      </c>
      <c r="L29" s="955">
        <v>525</v>
      </c>
      <c r="M29" s="955">
        <v>455</v>
      </c>
      <c r="N29" s="955">
        <v>565</v>
      </c>
      <c r="O29" s="956">
        <v>450</v>
      </c>
      <c r="P29" s="956">
        <v>565</v>
      </c>
      <c r="Q29" s="955">
        <v>620</v>
      </c>
      <c r="R29" s="955">
        <v>635</v>
      </c>
      <c r="S29" s="955">
        <v>800</v>
      </c>
      <c r="T29" s="967" t="s">
        <v>1267</v>
      </c>
      <c r="U29" s="975">
        <v>289</v>
      </c>
      <c r="V29" s="975">
        <v>315</v>
      </c>
      <c r="W29" s="978">
        <v>435</v>
      </c>
      <c r="X29" s="941"/>
      <c r="Y29" s="942"/>
    </row>
    <row r="30" spans="1:25" ht="15.75">
      <c r="A30" s="1000">
        <v>24</v>
      </c>
      <c r="B30" s="912" t="s">
        <v>1218</v>
      </c>
      <c r="C30" s="953">
        <v>1060</v>
      </c>
      <c r="D30" s="953">
        <v>1000</v>
      </c>
      <c r="E30" s="954" t="s">
        <v>1237</v>
      </c>
      <c r="F30" s="954" t="s">
        <v>1238</v>
      </c>
      <c r="G30" s="955">
        <v>375</v>
      </c>
      <c r="H30" s="955">
        <v>415</v>
      </c>
      <c r="I30" s="955">
        <v>445</v>
      </c>
      <c r="J30" s="955">
        <v>510</v>
      </c>
      <c r="K30" s="955">
        <v>495</v>
      </c>
      <c r="L30" s="955">
        <v>525</v>
      </c>
      <c r="M30" s="955">
        <v>455</v>
      </c>
      <c r="N30" s="955">
        <v>565</v>
      </c>
      <c r="O30" s="956">
        <v>450</v>
      </c>
      <c r="P30" s="956">
        <v>565</v>
      </c>
      <c r="Q30" s="955">
        <v>620</v>
      </c>
      <c r="R30" s="955">
        <v>635</v>
      </c>
      <c r="S30" s="955">
        <v>800</v>
      </c>
      <c r="T30" s="977" t="s">
        <v>1268</v>
      </c>
      <c r="U30" s="975">
        <v>289</v>
      </c>
      <c r="V30" s="975">
        <v>315</v>
      </c>
      <c r="W30" s="978">
        <v>435</v>
      </c>
      <c r="X30" s="941"/>
      <c r="Y30" s="942"/>
    </row>
    <row r="31" spans="1:25" ht="15.75">
      <c r="A31" s="1000">
        <v>25</v>
      </c>
      <c r="B31" s="912" t="s">
        <v>1219</v>
      </c>
      <c r="C31" s="953">
        <v>800</v>
      </c>
      <c r="D31" s="953">
        <v>750</v>
      </c>
      <c r="E31" s="954" t="s">
        <v>1237</v>
      </c>
      <c r="F31" s="954" t="s">
        <v>1238</v>
      </c>
      <c r="G31" s="954" t="s">
        <v>1238</v>
      </c>
      <c r="H31" s="979"/>
      <c r="I31" s="954" t="s">
        <v>1238</v>
      </c>
      <c r="J31" s="979"/>
      <c r="K31" s="954" t="s">
        <v>1238</v>
      </c>
      <c r="L31" s="979"/>
      <c r="M31" s="954" t="s">
        <v>1238</v>
      </c>
      <c r="N31" s="955">
        <v>755</v>
      </c>
      <c r="O31" s="979"/>
      <c r="P31" s="979"/>
      <c r="Q31" s="954" t="s">
        <v>1238</v>
      </c>
      <c r="R31" s="954" t="s">
        <v>1238</v>
      </c>
      <c r="S31" s="954" t="s">
        <v>1238</v>
      </c>
      <c r="T31" s="977" t="s">
        <v>1238</v>
      </c>
      <c r="U31" s="954" t="s">
        <v>1238</v>
      </c>
      <c r="V31" s="954" t="s">
        <v>1269</v>
      </c>
      <c r="W31" s="978">
        <v>575</v>
      </c>
      <c r="X31" s="943"/>
      <c r="Y31" s="944"/>
    </row>
    <row r="32" spans="1:25" ht="18">
      <c r="A32" s="1000">
        <v>26</v>
      </c>
      <c r="B32" s="912" t="s">
        <v>1220</v>
      </c>
      <c r="C32" s="925">
        <v>118</v>
      </c>
      <c r="D32" s="925">
        <v>118</v>
      </c>
      <c r="E32" s="926" t="s">
        <v>1221</v>
      </c>
      <c r="F32" s="921" t="s">
        <v>1222</v>
      </c>
      <c r="G32" s="921" t="s">
        <v>1223</v>
      </c>
      <c r="H32" s="921" t="s">
        <v>1224</v>
      </c>
      <c r="I32" s="921" t="s">
        <v>1225</v>
      </c>
      <c r="J32" s="921" t="s">
        <v>1226</v>
      </c>
      <c r="K32" s="931"/>
      <c r="L32" s="931"/>
      <c r="M32" s="921" t="s">
        <v>1227</v>
      </c>
      <c r="N32" s="921" t="s">
        <v>1228</v>
      </c>
      <c r="O32" s="934" t="s">
        <v>1229</v>
      </c>
      <c r="P32" s="912" t="s">
        <v>1230</v>
      </c>
      <c r="Q32" s="921" t="s">
        <v>1228</v>
      </c>
      <c r="R32" s="921" t="s">
        <v>1231</v>
      </c>
      <c r="S32" s="921" t="s">
        <v>1232</v>
      </c>
      <c r="T32" s="900" t="s">
        <v>1228</v>
      </c>
      <c r="U32" s="901"/>
      <c r="V32" s="901"/>
      <c r="W32" s="901"/>
      <c r="X32" s="901"/>
      <c r="Y32" s="902"/>
    </row>
    <row r="33" spans="1:25" ht="36">
      <c r="A33" s="900" t="s">
        <v>1233</v>
      </c>
      <c r="B33" s="901"/>
      <c r="C33" s="901"/>
      <c r="D33" s="901"/>
      <c r="E33" s="901"/>
      <c r="F33" s="901"/>
      <c r="G33" s="901"/>
      <c r="H33" s="901"/>
      <c r="I33" s="901"/>
      <c r="J33" s="901"/>
      <c r="K33" s="901"/>
      <c r="L33" s="901"/>
      <c r="M33" s="901"/>
      <c r="N33" s="901"/>
      <c r="O33" s="901"/>
      <c r="P33" s="901"/>
      <c r="Q33" s="901"/>
      <c r="R33" s="901"/>
      <c r="S33" s="901"/>
      <c r="T33" s="901"/>
      <c r="U33" s="901"/>
      <c r="V33" s="901"/>
      <c r="W33" s="901"/>
      <c r="X33" s="901"/>
      <c r="Y33" s="902"/>
    </row>
    <row r="34" spans="1:25">
      <c r="A34" s="945"/>
      <c r="B34" s="945"/>
      <c r="C34" s="945"/>
      <c r="D34" s="945"/>
      <c r="E34" s="945"/>
      <c r="F34" s="945"/>
      <c r="G34" s="945"/>
      <c r="H34" s="945"/>
      <c r="I34" s="945"/>
      <c r="J34" s="945"/>
      <c r="K34" s="945"/>
      <c r="L34" s="945"/>
      <c r="M34" s="945"/>
      <c r="N34" s="945"/>
      <c r="O34" s="945"/>
      <c r="P34" s="945"/>
      <c r="Q34" s="945"/>
      <c r="R34" s="945"/>
      <c r="S34" s="945"/>
      <c r="T34" s="945"/>
      <c r="U34" s="945"/>
      <c r="V34" s="945"/>
      <c r="W34" s="945"/>
      <c r="X34" s="945"/>
      <c r="Y34" s="945"/>
    </row>
  </sheetData>
  <customSheetViews>
    <customSheetView guid="{FBB3E572-A647-4B8C-96C7-F43FE4F7CAA8}" showPageBreaks="1">
      <selection activeCell="N4" sqref="N4"/>
      <pageMargins left="0.70866141732283472" right="0.70866141732283472" top="0.74803149606299213" bottom="0.74803149606299213" header="0.31496062992125984" footer="0.31496062992125984"/>
      <pageSetup paperSize="9" scale="55" orientation="landscape" horizontalDpi="0" verticalDpi="0" r:id="rId1"/>
    </customSheetView>
    <customSheetView guid="{900EF7B2-0D63-4DE2-9CFC-2D2B3788802C}">
      <selection activeCell="N4" sqref="N4"/>
      <pageMargins left="0.70866141732283472" right="0.70866141732283472" top="0.74803149606299213" bottom="0.74803149606299213" header="0.31496062992125984" footer="0.31496062992125984"/>
      <pageSetup paperSize="9" scale="55" orientation="landscape" horizontalDpi="0" verticalDpi="0" r:id="rId2"/>
    </customSheetView>
    <customSheetView guid="{CC6D6007-EFDE-464F-BD7C-A67043AC5D5C}">
      <selection activeCell="F3" sqref="F3"/>
      <pageMargins left="0.70866141732283472" right="0.70866141732283472" top="0.74803149606299213" bottom="0.74803149606299213" header="0.31496062992125984" footer="0.31496062992125984"/>
      <pageSetup paperSize="9" scale="55" orientation="landscape" horizontalDpi="0" verticalDpi="0" r:id="rId3"/>
    </customSheetView>
    <customSheetView guid="{C0FE86CC-5BB4-4265-957F-F51B909B3E81}">
      <selection activeCell="N4" sqref="N4"/>
      <pageMargins left="0.70866141732283472" right="0.70866141732283472" top="0.74803149606299213" bottom="0.74803149606299213" header="0.31496062992125984" footer="0.31496062992125984"/>
      <pageSetup paperSize="9" scale="55" orientation="landscape" horizontalDpi="0" verticalDpi="0" r:id="rId4"/>
    </customSheetView>
  </customSheetViews>
  <pageMargins left="0.70866141732283472" right="0.70866141732283472" top="0.74803149606299213" bottom="0.74803149606299213" header="0.31496062992125984" footer="0.31496062992125984"/>
  <pageSetup paperSize="9" scale="55" orientation="landscape" horizontalDpi="0" verticalDpi="0" r:id="rId5"/>
</worksheet>
</file>

<file path=xl/worksheets/sheet27.xml><?xml version="1.0" encoding="utf-8"?>
<worksheet xmlns="http://schemas.openxmlformats.org/spreadsheetml/2006/main" xmlns:r="http://schemas.openxmlformats.org/officeDocument/2006/relationships">
  <dimension ref="A1:G47"/>
  <sheetViews>
    <sheetView workbookViewId="0">
      <selection activeCell="A3" sqref="A3"/>
    </sheetView>
  </sheetViews>
  <sheetFormatPr defaultRowHeight="15"/>
  <cols>
    <col min="1" max="1" width="82.85546875" customWidth="1"/>
    <col min="2" max="2" width="14.5703125" customWidth="1"/>
    <col min="4" max="4" width="15.7109375" customWidth="1"/>
    <col min="5" max="5" width="16.85546875" customWidth="1"/>
    <col min="6" max="6" width="15" customWidth="1"/>
  </cols>
  <sheetData>
    <row r="1" spans="1:7" ht="35.25" customHeight="1" thickBot="1">
      <c r="A1" s="1057" t="s">
        <v>1285</v>
      </c>
      <c r="B1" s="1057"/>
      <c r="C1" s="1057"/>
      <c r="D1" s="1057"/>
      <c r="E1" s="1058"/>
      <c r="F1" s="1059"/>
    </row>
    <row r="2" spans="1:7" ht="41.25" thickBot="1">
      <c r="A2" s="1005" t="s">
        <v>781</v>
      </c>
      <c r="B2" s="1006" t="s">
        <v>1286</v>
      </c>
      <c r="C2" s="1007"/>
      <c r="D2" s="1008" t="s">
        <v>1287</v>
      </c>
      <c r="E2" s="1009" t="s">
        <v>1288</v>
      </c>
      <c r="F2" s="1010" t="s">
        <v>1289</v>
      </c>
      <c r="G2" s="1011"/>
    </row>
    <row r="3" spans="1:7" ht="33.75" thickBot="1">
      <c r="A3" s="1012" t="s">
        <v>931</v>
      </c>
      <c r="B3" s="1013"/>
      <c r="C3" s="1014"/>
      <c r="D3" s="1015"/>
      <c r="E3" s="1016" t="s">
        <v>1290</v>
      </c>
      <c r="F3" s="1017"/>
      <c r="G3" s="1017"/>
    </row>
    <row r="4" spans="1:7" ht="17.25" thickBot="1">
      <c r="A4" s="1018" t="s">
        <v>1291</v>
      </c>
      <c r="B4" s="1019" t="s">
        <v>1292</v>
      </c>
      <c r="C4" s="1020"/>
      <c r="D4" s="1021"/>
      <c r="E4" s="1022"/>
      <c r="F4" s="1023"/>
      <c r="G4" s="1024"/>
    </row>
    <row r="5" spans="1:7" ht="16.5">
      <c r="A5" s="1025" t="s">
        <v>1293</v>
      </c>
      <c r="B5" s="1026">
        <v>3</v>
      </c>
      <c r="C5" s="1027"/>
      <c r="D5" s="1028">
        <v>720.26</v>
      </c>
      <c r="E5" s="1029">
        <v>788.85</v>
      </c>
      <c r="F5" s="1029">
        <v>857.45</v>
      </c>
      <c r="G5" s="1030"/>
    </row>
    <row r="6" spans="1:7" ht="16.5">
      <c r="A6" s="1025" t="s">
        <v>1294</v>
      </c>
      <c r="B6" s="1031">
        <v>3</v>
      </c>
      <c r="C6" s="1027"/>
      <c r="D6" s="1028">
        <v>720.26</v>
      </c>
      <c r="E6" s="1029">
        <v>788.85</v>
      </c>
      <c r="F6" s="1029">
        <v>857.45</v>
      </c>
      <c r="G6" s="1032"/>
    </row>
    <row r="7" spans="1:7" ht="16.5">
      <c r="A7" s="1025" t="s">
        <v>1295</v>
      </c>
      <c r="B7" s="1031">
        <v>3.1</v>
      </c>
      <c r="C7" s="1027"/>
      <c r="D7" s="1028">
        <v>855.93</v>
      </c>
      <c r="E7" s="1029">
        <v>937.44</v>
      </c>
      <c r="F7" s="1029">
        <v>1018.96</v>
      </c>
      <c r="G7" s="1032"/>
    </row>
    <row r="8" spans="1:7" ht="17.25" thickBot="1">
      <c r="A8" s="1033"/>
      <c r="B8" s="1033"/>
      <c r="C8" s="1033"/>
      <c r="D8" s="1034"/>
      <c r="E8" s="1033"/>
      <c r="F8" s="1033"/>
      <c r="G8" s="1032"/>
    </row>
    <row r="9" spans="1:7" ht="17.25" thickBot="1">
      <c r="A9" s="1018" t="s">
        <v>1296</v>
      </c>
      <c r="B9" s="1019" t="s">
        <v>1292</v>
      </c>
      <c r="C9" s="1020"/>
      <c r="D9" s="1021"/>
      <c r="E9" s="1022"/>
      <c r="F9" s="1023"/>
      <c r="G9" s="1024"/>
    </row>
    <row r="10" spans="1:7" ht="16.5">
      <c r="A10" s="1025" t="s">
        <v>1297</v>
      </c>
      <c r="B10" s="1026">
        <v>3</v>
      </c>
      <c r="C10" s="1027"/>
      <c r="D10" s="1028">
        <v>908.34</v>
      </c>
      <c r="E10" s="1029">
        <v>996.96</v>
      </c>
      <c r="F10" s="1029">
        <v>1107.73</v>
      </c>
      <c r="G10" s="1030"/>
    </row>
    <row r="11" spans="1:7" ht="16.5">
      <c r="A11" s="1035" t="s">
        <v>1298</v>
      </c>
      <c r="B11" s="1031">
        <v>3</v>
      </c>
      <c r="C11" s="1027"/>
      <c r="D11" s="1028">
        <v>935.6</v>
      </c>
      <c r="E11" s="1029">
        <v>1026.8800000000001</v>
      </c>
      <c r="F11" s="1029">
        <v>1140.97</v>
      </c>
      <c r="G11" s="1032"/>
    </row>
    <row r="12" spans="1:7" ht="16.5">
      <c r="A12" s="1035" t="s">
        <v>1299</v>
      </c>
      <c r="B12" s="1031">
        <v>3.1</v>
      </c>
      <c r="C12" s="1027"/>
      <c r="D12" s="1028">
        <v>1079.3900000000001</v>
      </c>
      <c r="E12" s="1029">
        <v>1184.69</v>
      </c>
      <c r="F12" s="1029">
        <v>1316.33</v>
      </c>
      <c r="G12" s="1032"/>
    </row>
    <row r="13" spans="1:7" ht="16.5">
      <c r="A13" s="1035" t="s">
        <v>1300</v>
      </c>
      <c r="B13" s="1031">
        <v>3.1</v>
      </c>
      <c r="C13" s="1027"/>
      <c r="D13" s="1028">
        <v>1173.27</v>
      </c>
      <c r="E13" s="1029">
        <v>1287.74</v>
      </c>
      <c r="F13" s="1029">
        <v>1430.82</v>
      </c>
      <c r="G13" s="1032"/>
    </row>
    <row r="14" spans="1:7" ht="16.5">
      <c r="A14" s="1036" t="s">
        <v>1301</v>
      </c>
      <c r="B14" s="1037">
        <v>11</v>
      </c>
      <c r="C14" s="1038"/>
      <c r="D14" s="1039">
        <v>2296.69</v>
      </c>
      <c r="E14" s="1040">
        <v>2520.75</v>
      </c>
      <c r="F14" s="1040">
        <v>2800.84</v>
      </c>
      <c r="G14" s="1041"/>
    </row>
    <row r="15" spans="1:7" ht="17.25" thickBot="1">
      <c r="A15" s="1033"/>
      <c r="B15" s="1033"/>
      <c r="C15" s="1033"/>
      <c r="D15" s="1034"/>
      <c r="E15" s="1033"/>
      <c r="F15" s="1033"/>
      <c r="G15" s="1032"/>
    </row>
    <row r="16" spans="1:7" ht="17.25" thickBot="1">
      <c r="A16" s="1018" t="s">
        <v>1302</v>
      </c>
      <c r="B16" s="1019" t="str">
        <f>B4</f>
        <v>кв.м./ п.м.</v>
      </c>
      <c r="C16" s="1020"/>
      <c r="D16" s="1021"/>
      <c r="E16" s="1022"/>
      <c r="F16" s="1023"/>
      <c r="G16" s="1024"/>
    </row>
    <row r="17" spans="1:7" ht="16.5">
      <c r="A17" s="1042" t="s">
        <v>1303</v>
      </c>
      <c r="B17" s="1031">
        <v>2.9</v>
      </c>
      <c r="C17" s="1027"/>
      <c r="D17" s="1028">
        <v>995.51</v>
      </c>
      <c r="E17" s="1029">
        <v>1137.73</v>
      </c>
      <c r="F17" s="1029">
        <v>1292.8699999999999</v>
      </c>
      <c r="G17" s="1043"/>
    </row>
    <row r="18" spans="1:7" ht="16.5">
      <c r="A18" s="1035" t="s">
        <v>1304</v>
      </c>
      <c r="B18" s="1031">
        <v>3</v>
      </c>
      <c r="C18" s="1027"/>
      <c r="D18" s="1028">
        <v>1188.81</v>
      </c>
      <c r="E18" s="1029">
        <v>1358.64</v>
      </c>
      <c r="F18" s="1029">
        <v>1543.91</v>
      </c>
      <c r="G18" s="1030"/>
    </row>
    <row r="19" spans="1:7" ht="16.5">
      <c r="A19" s="1035" t="s">
        <v>1305</v>
      </c>
      <c r="B19" s="1031">
        <v>3</v>
      </c>
      <c r="C19" s="1027"/>
      <c r="D19" s="1028">
        <v>1224.48</v>
      </c>
      <c r="E19" s="1029">
        <v>1399.4</v>
      </c>
      <c r="F19" s="1029">
        <v>1590.23</v>
      </c>
      <c r="G19" s="1030"/>
    </row>
    <row r="20" spans="1:7" ht="16.5">
      <c r="A20" s="1044" t="s">
        <v>1306</v>
      </c>
      <c r="B20" s="1031">
        <v>3</v>
      </c>
      <c r="C20" s="1027"/>
      <c r="D20" s="1028">
        <v>1224.48</v>
      </c>
      <c r="E20" s="1029">
        <v>1399.4</v>
      </c>
      <c r="F20" s="1029">
        <v>1590.23</v>
      </c>
      <c r="G20" s="1030"/>
    </row>
    <row r="21" spans="1:7" ht="16.5">
      <c r="A21" s="1044" t="s">
        <v>1307</v>
      </c>
      <c r="B21" s="1031">
        <v>3</v>
      </c>
      <c r="C21" s="1027"/>
      <c r="D21" s="1028">
        <v>1224.48</v>
      </c>
      <c r="E21" s="1029">
        <v>1399.4</v>
      </c>
      <c r="F21" s="1029">
        <v>1590.23</v>
      </c>
      <c r="G21" s="1030"/>
    </row>
    <row r="22" spans="1:7" ht="16.5">
      <c r="A22" s="1044" t="s">
        <v>1308</v>
      </c>
      <c r="B22" s="1031">
        <v>3.1</v>
      </c>
      <c r="C22" s="1045"/>
      <c r="D22" s="1028">
        <v>1412.67</v>
      </c>
      <c r="E22" s="1029">
        <v>1614.48</v>
      </c>
      <c r="F22" s="1029">
        <v>1834.64</v>
      </c>
      <c r="G22" s="1030"/>
    </row>
    <row r="23" spans="1:7" ht="16.5">
      <c r="A23" s="1044" t="s">
        <v>1309</v>
      </c>
      <c r="B23" s="1031">
        <v>3.1</v>
      </c>
      <c r="C23" s="1045"/>
      <c r="D23" s="1028">
        <v>1479.94</v>
      </c>
      <c r="E23" s="1029">
        <v>1691.36</v>
      </c>
      <c r="F23" s="1029">
        <v>1922</v>
      </c>
      <c r="G23" s="1043"/>
    </row>
    <row r="24" spans="1:7" ht="16.5">
      <c r="A24" s="1044" t="s">
        <v>1310</v>
      </c>
      <c r="B24" s="1031">
        <v>3.1</v>
      </c>
      <c r="C24" s="1045"/>
      <c r="D24" s="1028">
        <v>1535.56</v>
      </c>
      <c r="E24" s="1029">
        <v>1754.93</v>
      </c>
      <c r="F24" s="1029">
        <v>1994.24</v>
      </c>
      <c r="G24" s="1043"/>
    </row>
    <row r="25" spans="1:7" ht="16.5">
      <c r="A25" s="1046" t="s">
        <v>1311</v>
      </c>
      <c r="B25" s="1047">
        <v>2.4</v>
      </c>
      <c r="C25" s="1045"/>
      <c r="D25" s="1028">
        <v>1398.57</v>
      </c>
      <c r="E25" s="1029">
        <v>1598.37</v>
      </c>
      <c r="F25" s="1029">
        <v>1816.33</v>
      </c>
      <c r="G25" s="1030"/>
    </row>
    <row r="26" spans="1:7" ht="16.5">
      <c r="A26" s="1048" t="s">
        <v>1312</v>
      </c>
      <c r="B26" s="1049">
        <v>11</v>
      </c>
      <c r="C26" s="1045"/>
      <c r="D26" s="1039">
        <v>2585.79</v>
      </c>
      <c r="E26" s="1040">
        <v>2955.19</v>
      </c>
      <c r="F26" s="1029">
        <v>3358.17</v>
      </c>
      <c r="G26" s="1041"/>
    </row>
    <row r="27" spans="1:7" ht="17.25" thickBot="1">
      <c r="A27" s="1033"/>
      <c r="B27" s="1033"/>
      <c r="C27" s="1033"/>
      <c r="D27" s="1050"/>
      <c r="E27" s="1033"/>
      <c r="F27" s="1033"/>
      <c r="G27" s="1032"/>
    </row>
    <row r="28" spans="1:7" ht="17.25" thickBot="1">
      <c r="A28" s="1018" t="s">
        <v>1313</v>
      </c>
      <c r="B28" s="1019" t="s">
        <v>786</v>
      </c>
      <c r="C28" s="1020"/>
      <c r="D28" s="1021"/>
      <c r="E28" s="1022"/>
      <c r="F28" s="1023"/>
      <c r="G28" s="1024"/>
    </row>
    <row r="29" spans="1:7" ht="16.5">
      <c r="A29" s="1025" t="s">
        <v>1314</v>
      </c>
      <c r="B29" s="1031">
        <v>10</v>
      </c>
      <c r="C29" s="1033"/>
      <c r="D29" s="1028">
        <v>3476.67</v>
      </c>
      <c r="E29" s="1029">
        <v>4063.64</v>
      </c>
      <c r="F29" s="1029">
        <v>4515.1499999999996</v>
      </c>
      <c r="G29" s="1032"/>
    </row>
    <row r="30" spans="1:7" ht="17.25" thickBot="1">
      <c r="A30" s="1033"/>
      <c r="B30" s="1033"/>
      <c r="C30" s="1033"/>
      <c r="D30" s="1034"/>
      <c r="E30" s="1033"/>
      <c r="F30" s="1033"/>
      <c r="G30" s="1032"/>
    </row>
    <row r="31" spans="1:7" ht="17.25" thickBot="1">
      <c r="A31" s="1018" t="s">
        <v>1315</v>
      </c>
      <c r="B31" s="1019" t="s">
        <v>1316</v>
      </c>
      <c r="C31" s="1020"/>
      <c r="D31" s="1021"/>
      <c r="E31" s="1022"/>
      <c r="F31" s="1023"/>
      <c r="G31" s="1024"/>
    </row>
    <row r="32" spans="1:7" ht="16.5">
      <c r="A32" s="1025" t="s">
        <v>1317</v>
      </c>
      <c r="B32" s="1031">
        <v>15</v>
      </c>
      <c r="C32" s="1033"/>
      <c r="D32" s="1028">
        <v>862.05</v>
      </c>
      <c r="E32" s="1029">
        <v>1007.59</v>
      </c>
      <c r="F32" s="1029">
        <v>1119.55</v>
      </c>
      <c r="G32" s="1032"/>
    </row>
    <row r="33" spans="1:7" ht="16.5">
      <c r="A33" s="1044" t="s">
        <v>1318</v>
      </c>
      <c r="B33" s="1031">
        <v>15</v>
      </c>
      <c r="C33" s="1045"/>
      <c r="D33" s="1028">
        <v>909.13</v>
      </c>
      <c r="E33" s="1029">
        <v>1062.6099999999999</v>
      </c>
      <c r="F33" s="1029">
        <v>1180.68</v>
      </c>
      <c r="G33" s="1030"/>
    </row>
    <row r="34" spans="1:7" ht="16.5">
      <c r="A34" s="1044" t="s">
        <v>1319</v>
      </c>
      <c r="B34" s="1031">
        <v>30</v>
      </c>
      <c r="C34" s="1045"/>
      <c r="D34" s="1028">
        <v>2241.75</v>
      </c>
      <c r="E34" s="1029">
        <v>2620.23</v>
      </c>
      <c r="F34" s="1029">
        <v>2911.36</v>
      </c>
      <c r="G34" s="1030"/>
    </row>
    <row r="35" spans="1:7" ht="16.5">
      <c r="A35" s="1044" t="s">
        <v>1320</v>
      </c>
      <c r="B35" s="1031">
        <v>15</v>
      </c>
      <c r="C35" s="1045"/>
      <c r="D35" s="1028">
        <v>1120.8800000000001</v>
      </c>
      <c r="E35" s="1029">
        <v>1310.1099999999999</v>
      </c>
      <c r="F35" s="1029">
        <v>1455.68</v>
      </c>
      <c r="G35" s="1030"/>
    </row>
    <row r="36" spans="1:7" ht="16.5">
      <c r="A36" s="1044" t="s">
        <v>1321</v>
      </c>
      <c r="B36" s="1031">
        <v>40</v>
      </c>
      <c r="C36" s="1045"/>
      <c r="D36" s="1028">
        <v>3634.4</v>
      </c>
      <c r="E36" s="1029">
        <v>4248</v>
      </c>
      <c r="F36" s="1029">
        <v>4720</v>
      </c>
      <c r="G36" s="1030"/>
    </row>
    <row r="37" spans="1:7" ht="16.5">
      <c r="A37" s="1044" t="s">
        <v>1322</v>
      </c>
      <c r="B37" s="1031">
        <v>30</v>
      </c>
      <c r="C37" s="1045"/>
      <c r="D37" s="1028">
        <v>3636.15</v>
      </c>
      <c r="E37" s="1029">
        <v>4250.05</v>
      </c>
      <c r="F37" s="1029">
        <v>4722.2700000000004</v>
      </c>
      <c r="G37" s="1030"/>
    </row>
    <row r="38" spans="1:7" ht="16.5">
      <c r="A38" s="1044" t="s">
        <v>1323</v>
      </c>
      <c r="B38" s="1031">
        <v>15</v>
      </c>
      <c r="C38" s="1045"/>
      <c r="D38" s="1028">
        <v>2342.9</v>
      </c>
      <c r="E38" s="1029">
        <v>2738.45</v>
      </c>
      <c r="F38" s="1029">
        <v>3042.73</v>
      </c>
      <c r="G38" s="1030"/>
    </row>
    <row r="39" spans="1:7" ht="17.25" thickBot="1">
      <c r="A39" s="1051"/>
      <c r="B39" s="1051"/>
      <c r="C39" s="1051"/>
      <c r="D39" s="1052"/>
      <c r="E39" s="1051"/>
      <c r="F39" s="1051"/>
      <c r="G39" s="1032"/>
    </row>
    <row r="40" spans="1:7" ht="17.25" thickBot="1">
      <c r="A40" s="1018" t="s">
        <v>614</v>
      </c>
      <c r="B40" s="1019" t="s">
        <v>1324</v>
      </c>
      <c r="C40" s="1020"/>
      <c r="D40" s="1021"/>
      <c r="E40" s="1022"/>
      <c r="F40" s="1023"/>
      <c r="G40" s="1024"/>
    </row>
    <row r="41" spans="1:7" ht="16.5">
      <c r="A41" s="1025" t="s">
        <v>1325</v>
      </c>
      <c r="B41" s="1031">
        <v>0.28999999999999998</v>
      </c>
      <c r="C41" s="1033"/>
      <c r="D41" s="1028">
        <v>110.41</v>
      </c>
      <c r="E41" s="1029">
        <v>129.05000000000001</v>
      </c>
      <c r="F41" s="1029">
        <v>143.38999999999999</v>
      </c>
      <c r="G41" s="1032"/>
    </row>
    <row r="42" spans="1:7" ht="16.5">
      <c r="A42" s="1035" t="s">
        <v>1326</v>
      </c>
      <c r="B42" s="1031">
        <v>5</v>
      </c>
      <c r="C42" s="1033"/>
      <c r="D42" s="1028">
        <v>676.9</v>
      </c>
      <c r="E42" s="1029">
        <v>791.18</v>
      </c>
      <c r="F42" s="1029">
        <v>879.09</v>
      </c>
      <c r="G42" s="1032"/>
    </row>
    <row r="43" spans="1:7" ht="16.5">
      <c r="A43" s="1035" t="s">
        <v>1327</v>
      </c>
      <c r="B43" s="1031">
        <v>10</v>
      </c>
      <c r="C43" s="1033"/>
      <c r="D43" s="1028">
        <v>1314.25</v>
      </c>
      <c r="E43" s="1029">
        <v>1536.14</v>
      </c>
      <c r="F43" s="1029">
        <v>1706.82</v>
      </c>
      <c r="G43" s="1032"/>
    </row>
    <row r="44" spans="1:7" ht="16.5">
      <c r="A44" s="1035" t="s">
        <v>1328</v>
      </c>
      <c r="B44" s="1031">
        <v>5</v>
      </c>
      <c r="C44" s="1033"/>
      <c r="D44" s="1028">
        <v>710.85</v>
      </c>
      <c r="E44" s="1029">
        <v>830.86</v>
      </c>
      <c r="F44" s="1029">
        <v>923.18</v>
      </c>
      <c r="G44" s="1032"/>
    </row>
    <row r="45" spans="1:7" ht="17.25" thickBot="1">
      <c r="A45" s="1035" t="s">
        <v>1329</v>
      </c>
      <c r="B45" s="1031">
        <v>90</v>
      </c>
      <c r="C45" s="1033"/>
      <c r="D45" s="1028">
        <v>2924.25</v>
      </c>
      <c r="E45" s="1029">
        <v>3417.95</v>
      </c>
      <c r="F45" s="1029">
        <v>3797.73</v>
      </c>
      <c r="G45" s="1032"/>
    </row>
    <row r="46" spans="1:7" ht="48.75" customHeight="1" thickBot="1">
      <c r="A46" s="1053" t="s">
        <v>1330</v>
      </c>
      <c r="B46" s="1054"/>
      <c r="C46" s="1054"/>
      <c r="D46" s="1055" t="s">
        <v>1331</v>
      </c>
      <c r="E46" s="1056"/>
      <c r="F46" s="1056"/>
      <c r="G46" s="1054"/>
    </row>
    <row r="47" spans="1:7" ht="16.5">
      <c r="A47" s="1024"/>
      <c r="B47" s="1032"/>
      <c r="C47" s="1032"/>
      <c r="D47" s="1054"/>
      <c r="E47" s="1054"/>
      <c r="F47" s="1054"/>
      <c r="G47" s="1032"/>
    </row>
  </sheetData>
  <customSheetViews>
    <customSheetView guid="{FBB3E572-A647-4B8C-96C7-F43FE4F7CAA8}" state="hidden">
      <selection activeCell="A3" sqref="A3"/>
      <pageMargins left="0.7" right="0.7" top="0.75" bottom="0.75" header="0.3" footer="0.3"/>
    </customSheetView>
    <customSheetView guid="{900EF7B2-0D63-4DE2-9CFC-2D2B3788802C}" showPageBreaks="1">
      <selection activeCell="A3" sqref="A3"/>
      <pageMargins left="0" right="0.11811023622047245" top="0.15748031496062992" bottom="0.15748031496062992" header="0.31496062992125984" footer="0.31496062992125984"/>
      <pageSetup paperSize="9" scale="60" orientation="portrait" verticalDpi="0" r:id="rId1"/>
    </customSheetView>
    <customSheetView guid="{CC6D6007-EFDE-464F-BD7C-A67043AC5D5C}" state="hidden">
      <selection activeCell="A3" sqref="A3"/>
      <pageMargins left="0.7" right="0.7" top="0.75" bottom="0.75" header="0.3" footer="0.3"/>
    </customSheetView>
    <customSheetView guid="{C0FE86CC-5BB4-4265-957F-F51B909B3E81}">
      <selection activeCell="A3" sqref="A3"/>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G13"/>
  <sheetViews>
    <sheetView workbookViewId="0"/>
  </sheetViews>
  <sheetFormatPr defaultRowHeight="15"/>
  <cols>
    <col min="1" max="1" width="51.42578125" customWidth="1"/>
    <col min="4" max="4" width="13.42578125" customWidth="1"/>
    <col min="5" max="5" width="11.140625" customWidth="1"/>
    <col min="6" max="6" width="14.28515625" customWidth="1"/>
  </cols>
  <sheetData>
    <row r="1" spans="1:7" ht="21.75" thickBot="1">
      <c r="A1" s="1097" t="s">
        <v>1285</v>
      </c>
      <c r="B1" s="952"/>
      <c r="C1" s="952"/>
      <c r="D1" s="952"/>
      <c r="E1" s="952"/>
      <c r="F1" s="952"/>
    </row>
    <row r="2" spans="1:7" ht="51.75" thickBot="1">
      <c r="A2" s="1063" t="s">
        <v>781</v>
      </c>
      <c r="B2" s="1064" t="s">
        <v>1286</v>
      </c>
      <c r="C2" s="1065"/>
      <c r="D2" s="1066" t="s">
        <v>1332</v>
      </c>
      <c r="E2" s="1067" t="s">
        <v>1288</v>
      </c>
      <c r="F2" s="1068" t="s">
        <v>1289</v>
      </c>
      <c r="G2" s="1011"/>
    </row>
    <row r="3" spans="1:7" ht="17.25" thickBot="1">
      <c r="A3" s="1051"/>
      <c r="B3" s="1051"/>
      <c r="C3" s="1051"/>
      <c r="D3" s="1051"/>
      <c r="E3" s="1069"/>
      <c r="F3" s="1069" t="s">
        <v>1290</v>
      </c>
      <c r="G3" s="1070"/>
    </row>
    <row r="4" spans="1:7" ht="17.25" thickBot="1">
      <c r="A4" s="1071" t="s">
        <v>1333</v>
      </c>
      <c r="B4" s="1072" t="s">
        <v>217</v>
      </c>
      <c r="C4" s="1020"/>
      <c r="D4" s="1021"/>
      <c r="E4" s="1022"/>
      <c r="F4" s="1023"/>
      <c r="G4" s="1024"/>
    </row>
    <row r="5" spans="1:7" ht="16.5">
      <c r="A5" s="1073" t="s">
        <v>1334</v>
      </c>
      <c r="B5" s="1074">
        <v>12</v>
      </c>
      <c r="C5" s="1075"/>
      <c r="D5" s="1028">
        <v>377.75</v>
      </c>
      <c r="E5" s="1029">
        <v>441.52</v>
      </c>
      <c r="F5" s="1029">
        <v>490.58</v>
      </c>
      <c r="G5" s="1043"/>
    </row>
    <row r="6" spans="1:7" ht="16.5">
      <c r="A6" s="1076" t="s">
        <v>1335</v>
      </c>
      <c r="B6" s="1077">
        <v>12</v>
      </c>
      <c r="C6" s="1075"/>
      <c r="D6" s="1078">
        <v>61.42</v>
      </c>
      <c r="E6" s="1079">
        <v>71.790000000000006</v>
      </c>
      <c r="F6" s="1079">
        <v>79.760000000000005</v>
      </c>
      <c r="G6" s="1043"/>
    </row>
    <row r="7" spans="1:7" ht="16.5">
      <c r="A7" s="1080"/>
      <c r="B7" s="1081"/>
      <c r="C7" s="1082"/>
      <c r="D7" s="1083"/>
      <c r="E7" s="1084"/>
      <c r="F7" s="1084"/>
      <c r="G7" s="1043"/>
    </row>
    <row r="8" spans="1:7" ht="17.25" thickBot="1">
      <c r="A8" s="1051"/>
      <c r="B8" s="1082"/>
      <c r="C8" s="1082"/>
      <c r="D8" s="1085"/>
      <c r="E8" s="1086"/>
      <c r="F8" s="1086"/>
      <c r="G8" s="1043"/>
    </row>
    <row r="9" spans="1:7" ht="17.25" thickBot="1">
      <c r="A9" s="1071" t="s">
        <v>1336</v>
      </c>
      <c r="B9" s="1072" t="s">
        <v>217</v>
      </c>
      <c r="C9" s="1087"/>
      <c r="D9" s="1021"/>
      <c r="E9" s="1022"/>
      <c r="F9" s="1023"/>
      <c r="G9" s="1024"/>
    </row>
    <row r="10" spans="1:7" ht="16.5">
      <c r="A10" s="1073" t="s">
        <v>1337</v>
      </c>
      <c r="B10" s="1074">
        <v>9</v>
      </c>
      <c r="C10" s="1075"/>
      <c r="D10" s="1088">
        <v>1184.45</v>
      </c>
      <c r="E10" s="1089">
        <v>1342.38</v>
      </c>
      <c r="F10" s="1089">
        <v>1579.27</v>
      </c>
      <c r="G10" s="1043"/>
    </row>
    <row r="11" spans="1:7" ht="17.25" thickBot="1">
      <c r="A11" s="1090" t="s">
        <v>1338</v>
      </c>
      <c r="B11" s="1074">
        <v>9</v>
      </c>
      <c r="C11" s="1075"/>
      <c r="D11" s="1088">
        <v>776.02</v>
      </c>
      <c r="E11" s="1089">
        <v>879.49</v>
      </c>
      <c r="F11" s="1029">
        <v>1034.69</v>
      </c>
      <c r="G11" s="1043"/>
    </row>
    <row r="12" spans="1:7" ht="57.75" customHeight="1" thickBot="1">
      <c r="A12" s="1053" t="s">
        <v>1339</v>
      </c>
      <c r="B12" s="1091"/>
      <c r="C12" s="1091"/>
      <c r="D12" s="1092"/>
      <c r="E12" s="1093" t="s">
        <v>1331</v>
      </c>
      <c r="F12" s="1094"/>
      <c r="G12" s="1094"/>
    </row>
    <row r="13" spans="1:7" ht="16.5">
      <c r="A13" s="1095"/>
      <c r="B13" s="1082"/>
      <c r="C13" s="1082"/>
      <c r="D13" s="1086"/>
      <c r="E13" s="1096"/>
      <c r="F13" s="1096"/>
      <c r="G13" s="1096"/>
    </row>
  </sheetData>
  <customSheetViews>
    <customSheetView guid="{FBB3E572-A647-4B8C-96C7-F43FE4F7CAA8}" state="hidden">
      <pageMargins left="0.7" right="0.7" top="0.75" bottom="0.75" header="0.3" footer="0.3"/>
    </customSheetView>
    <customSheetView guid="{900EF7B2-0D63-4DE2-9CFC-2D2B3788802C}">
      <pageMargins left="0.7" right="0.7" top="0.75" bottom="0.75" header="0.3" footer="0.3"/>
    </customSheetView>
    <customSheetView guid="{CC6D6007-EFDE-464F-BD7C-A67043AC5D5C}" state="hidden">
      <pageMargins left="0.7" right="0.7" top="0.75" bottom="0.75" header="0.3" footer="0.3"/>
    </customSheetView>
    <customSheetView guid="{C0FE86CC-5BB4-4265-957F-F51B909B3E81}">
      <pageMargins left="0.7" right="0.7" top="0.75" bottom="0.75" header="0.3" footer="0.3"/>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G50"/>
  <sheetViews>
    <sheetView workbookViewId="0">
      <selection activeCell="A20" sqref="A20"/>
    </sheetView>
  </sheetViews>
  <sheetFormatPr defaultRowHeight="15"/>
  <cols>
    <col min="1" max="1" width="92.7109375" customWidth="1"/>
    <col min="2" max="2" width="8.28515625" customWidth="1"/>
    <col min="4" max="4" width="17.5703125" customWidth="1"/>
    <col min="5" max="5" width="17.28515625" customWidth="1"/>
    <col min="6" max="6" width="17.140625" customWidth="1"/>
  </cols>
  <sheetData>
    <row r="1" spans="1:7" ht="32.25" thickBot="1">
      <c r="A1" s="1117" t="s">
        <v>1285</v>
      </c>
      <c r="B1" s="1117"/>
      <c r="C1" s="1117"/>
      <c r="D1" s="1117"/>
      <c r="E1" s="1117"/>
      <c r="F1" s="1117"/>
    </row>
    <row r="2" spans="1:7" ht="41.25" thickBot="1">
      <c r="A2" s="1098" t="s">
        <v>781</v>
      </c>
      <c r="B2" s="1116" t="s">
        <v>1286</v>
      </c>
      <c r="C2" s="1007"/>
      <c r="D2" s="1099" t="s">
        <v>1340</v>
      </c>
      <c r="E2" s="1100" t="s">
        <v>1288</v>
      </c>
      <c r="F2" s="1101" t="s">
        <v>1289</v>
      </c>
      <c r="G2" s="1011"/>
    </row>
    <row r="3" spans="1:7" ht="17.25" thickBot="1">
      <c r="A3" s="1013"/>
      <c r="B3" s="1013"/>
      <c r="C3" s="1014"/>
      <c r="D3" s="1014"/>
      <c r="E3" s="1014"/>
      <c r="F3" s="1014"/>
      <c r="G3" s="1032"/>
    </row>
    <row r="4" spans="1:7" ht="17.25" thickBot="1">
      <c r="A4" s="1071" t="s">
        <v>1341</v>
      </c>
      <c r="B4" s="1072" t="s">
        <v>21</v>
      </c>
      <c r="C4" s="1020"/>
      <c r="D4" s="1021"/>
      <c r="E4" s="1022"/>
      <c r="F4" s="1023"/>
      <c r="G4" s="1024"/>
    </row>
    <row r="5" spans="1:7" ht="16.5">
      <c r="A5" s="1025" t="s">
        <v>1342</v>
      </c>
      <c r="B5" s="1026">
        <v>20</v>
      </c>
      <c r="C5" s="1027"/>
      <c r="D5" s="1029">
        <v>184.4</v>
      </c>
      <c r="E5" s="1029">
        <v>188.36</v>
      </c>
      <c r="F5" s="1102">
        <v>198.28</v>
      </c>
      <c r="G5" s="1030"/>
    </row>
    <row r="6" spans="1:7" ht="16.5">
      <c r="A6" s="1025" t="s">
        <v>1343</v>
      </c>
      <c r="B6" s="1026">
        <v>16</v>
      </c>
      <c r="C6" s="1027"/>
      <c r="D6" s="1029">
        <v>128.85</v>
      </c>
      <c r="E6" s="1029">
        <v>131.62</v>
      </c>
      <c r="F6" s="1102">
        <v>138.55000000000001</v>
      </c>
      <c r="G6" s="1030"/>
    </row>
    <row r="7" spans="1:7" ht="16.5">
      <c r="A7" s="1025" t="s">
        <v>1344</v>
      </c>
      <c r="B7" s="1026">
        <v>20</v>
      </c>
      <c r="C7" s="1027"/>
      <c r="D7" s="1029">
        <v>219.52</v>
      </c>
      <c r="E7" s="1029">
        <v>225.24</v>
      </c>
      <c r="F7" s="1102">
        <v>236.05</v>
      </c>
      <c r="G7" s="1030"/>
    </row>
    <row r="8" spans="1:7" ht="17.25" thickBot="1">
      <c r="A8" s="1033"/>
      <c r="B8" s="1032"/>
      <c r="C8" s="1045"/>
      <c r="D8" s="1103"/>
      <c r="E8" s="1092"/>
      <c r="F8" s="1092"/>
      <c r="G8" s="1032"/>
    </row>
    <row r="9" spans="1:7" ht="17.25" thickBot="1">
      <c r="A9" s="1071" t="s">
        <v>1345</v>
      </c>
      <c r="B9" s="1072" t="s">
        <v>21</v>
      </c>
      <c r="C9" s="1020"/>
      <c r="D9" s="1021"/>
      <c r="E9" s="1022"/>
      <c r="F9" s="1023"/>
      <c r="G9" s="1024"/>
    </row>
    <row r="10" spans="1:7" ht="16.5">
      <c r="A10" s="1025" t="s">
        <v>1346</v>
      </c>
      <c r="B10" s="1031">
        <v>20</v>
      </c>
      <c r="C10" s="1027"/>
      <c r="D10" s="1089">
        <v>228.58</v>
      </c>
      <c r="E10" s="1089">
        <v>233.49</v>
      </c>
      <c r="F10" s="1104">
        <v>245.78</v>
      </c>
      <c r="G10" s="1030"/>
    </row>
    <row r="11" spans="1:7" ht="17.25" thickBot="1">
      <c r="A11" s="1032"/>
      <c r="B11" s="1032"/>
      <c r="C11" s="1033"/>
      <c r="D11" s="1103"/>
      <c r="E11" s="1033"/>
      <c r="F11" s="1033"/>
      <c r="G11" s="1032"/>
    </row>
    <row r="12" spans="1:7" ht="17.25" thickBot="1">
      <c r="A12" s="1071" t="s">
        <v>1347</v>
      </c>
      <c r="B12" s="1072" t="s">
        <v>21</v>
      </c>
      <c r="C12" s="1020"/>
      <c r="D12" s="1021"/>
      <c r="E12" s="1022"/>
      <c r="F12" s="1023"/>
      <c r="G12" s="1024"/>
    </row>
    <row r="13" spans="1:7" ht="16.5">
      <c r="A13" s="1025" t="s">
        <v>1348</v>
      </c>
      <c r="B13" s="1026">
        <v>16</v>
      </c>
      <c r="C13" s="1027"/>
      <c r="D13" s="1029">
        <v>282.02999999999997</v>
      </c>
      <c r="E13" s="1029">
        <v>355.44</v>
      </c>
      <c r="F13" s="1102">
        <v>386.34</v>
      </c>
      <c r="G13" s="1030"/>
    </row>
    <row r="14" spans="1:7" ht="16.5">
      <c r="A14" s="1025" t="s">
        <v>1349</v>
      </c>
      <c r="B14" s="1026">
        <v>16</v>
      </c>
      <c r="C14" s="1027"/>
      <c r="D14" s="1029">
        <v>370.83</v>
      </c>
      <c r="E14" s="1029">
        <v>467.34</v>
      </c>
      <c r="F14" s="1102">
        <v>507.98</v>
      </c>
      <c r="G14" s="1030"/>
    </row>
    <row r="15" spans="1:7" ht="17.25" thickBot="1">
      <c r="A15" s="1032"/>
      <c r="B15" s="1032"/>
      <c r="C15" s="1033"/>
      <c r="D15" s="1103"/>
      <c r="E15" s="1033"/>
      <c r="F15" s="1033"/>
      <c r="G15" s="1032"/>
    </row>
    <row r="16" spans="1:7" ht="17.25" thickBot="1">
      <c r="A16" s="1071" t="s">
        <v>1350</v>
      </c>
      <c r="B16" s="1072" t="s">
        <v>21</v>
      </c>
      <c r="C16" s="1020"/>
      <c r="D16" s="1021"/>
      <c r="E16" s="1022"/>
      <c r="F16" s="1023"/>
      <c r="G16" s="1024"/>
    </row>
    <row r="17" spans="1:7" ht="16.5">
      <c r="A17" s="1042" t="s">
        <v>1351</v>
      </c>
      <c r="B17" s="1031">
        <v>38</v>
      </c>
      <c r="C17" s="1045"/>
      <c r="D17" s="1029">
        <v>297.02999999999997</v>
      </c>
      <c r="E17" s="1029">
        <v>376.23</v>
      </c>
      <c r="F17" s="1102">
        <v>396.04</v>
      </c>
      <c r="G17" s="1030"/>
    </row>
    <row r="18" spans="1:7" ht="16.5">
      <c r="A18" s="1044" t="s">
        <v>1352</v>
      </c>
      <c r="B18" s="1031">
        <v>12</v>
      </c>
      <c r="C18" s="1045"/>
      <c r="D18" s="1029">
        <v>477.21</v>
      </c>
      <c r="E18" s="1029">
        <v>604.47</v>
      </c>
      <c r="F18" s="1102">
        <v>636.29</v>
      </c>
      <c r="G18" s="1030"/>
    </row>
    <row r="19" spans="1:7" ht="16.5">
      <c r="A19" s="1044" t="s">
        <v>1353</v>
      </c>
      <c r="B19" s="1031">
        <v>60</v>
      </c>
      <c r="C19" s="1045"/>
      <c r="D19" s="1029">
        <v>195.17</v>
      </c>
      <c r="E19" s="1029">
        <v>218.13</v>
      </c>
      <c r="F19" s="1102">
        <v>229.61</v>
      </c>
      <c r="G19" s="1030"/>
    </row>
    <row r="20" spans="1:7" ht="16.5">
      <c r="A20" s="1044" t="s">
        <v>1354</v>
      </c>
      <c r="B20" s="1031">
        <v>60</v>
      </c>
      <c r="C20" s="1045"/>
      <c r="D20" s="1029">
        <v>146.57</v>
      </c>
      <c r="E20" s="1029">
        <v>185.66</v>
      </c>
      <c r="F20" s="1102">
        <v>229.61</v>
      </c>
      <c r="G20" s="1030"/>
    </row>
    <row r="21" spans="1:7" ht="16.5">
      <c r="A21" s="1044" t="s">
        <v>1355</v>
      </c>
      <c r="B21" s="1031">
        <v>45</v>
      </c>
      <c r="C21" s="1045"/>
      <c r="D21" s="1029">
        <v>325.98</v>
      </c>
      <c r="E21" s="1029">
        <v>412.91</v>
      </c>
      <c r="F21" s="1102">
        <v>434.64</v>
      </c>
      <c r="G21" s="1030"/>
    </row>
    <row r="22" spans="1:7" ht="16.5">
      <c r="A22" s="1044" t="s">
        <v>1356</v>
      </c>
      <c r="B22" s="1031">
        <v>45</v>
      </c>
      <c r="C22" s="1045"/>
      <c r="D22" s="1029">
        <v>506.73</v>
      </c>
      <c r="E22" s="1029">
        <v>566.35</v>
      </c>
      <c r="F22" s="1102">
        <v>596.16</v>
      </c>
      <c r="G22" s="1030"/>
    </row>
    <row r="23" spans="1:7" ht="16.5">
      <c r="A23" s="1044" t="s">
        <v>1357</v>
      </c>
      <c r="B23" s="1031">
        <v>50</v>
      </c>
      <c r="C23" s="1045"/>
      <c r="D23" s="1029">
        <v>93.19</v>
      </c>
      <c r="E23" s="1029">
        <v>118.04</v>
      </c>
      <c r="F23" s="1102">
        <v>124.25</v>
      </c>
      <c r="G23" s="1030"/>
    </row>
    <row r="24" spans="1:7" ht="16.5">
      <c r="A24" s="1044" t="s">
        <v>1358</v>
      </c>
      <c r="B24" s="1031">
        <v>12</v>
      </c>
      <c r="C24" s="1045"/>
      <c r="D24" s="1029">
        <v>364.15</v>
      </c>
      <c r="E24" s="1029">
        <v>461.26</v>
      </c>
      <c r="F24" s="1102">
        <v>485.54</v>
      </c>
      <c r="G24" s="1030"/>
    </row>
    <row r="25" spans="1:7" ht="16.5">
      <c r="A25" s="1044" t="s">
        <v>1359</v>
      </c>
      <c r="B25" s="1031">
        <v>12</v>
      </c>
      <c r="C25" s="1045"/>
      <c r="D25" s="1029">
        <v>578.28</v>
      </c>
      <c r="E25" s="1029">
        <v>646.32000000000005</v>
      </c>
      <c r="F25" s="1102">
        <v>680.33</v>
      </c>
      <c r="G25" s="1030"/>
    </row>
    <row r="26" spans="1:7" ht="16.5">
      <c r="A26" s="1044" t="s">
        <v>1360</v>
      </c>
      <c r="B26" s="1031">
        <v>22</v>
      </c>
      <c r="C26" s="1045"/>
      <c r="D26" s="1029">
        <v>279.63</v>
      </c>
      <c r="E26" s="1029">
        <v>354.2</v>
      </c>
      <c r="F26" s="1102">
        <v>372.84</v>
      </c>
      <c r="G26" s="1030"/>
    </row>
    <row r="27" spans="1:7" ht="16.5">
      <c r="A27" s="1044" t="s">
        <v>1361</v>
      </c>
      <c r="B27" s="1031">
        <v>22</v>
      </c>
      <c r="C27" s="1045"/>
      <c r="D27" s="1029">
        <v>479.91</v>
      </c>
      <c r="E27" s="1029">
        <v>556.48</v>
      </c>
      <c r="F27" s="1102">
        <v>585.77</v>
      </c>
      <c r="G27" s="1030"/>
    </row>
    <row r="28" spans="1:7" ht="16.5">
      <c r="A28" s="1044" t="s">
        <v>1362</v>
      </c>
      <c r="B28" s="1031">
        <v>30</v>
      </c>
      <c r="C28" s="1045"/>
      <c r="D28" s="1029">
        <v>365.33</v>
      </c>
      <c r="E28" s="1029">
        <v>462.75</v>
      </c>
      <c r="F28" s="1102">
        <v>487.11</v>
      </c>
      <c r="G28" s="1030"/>
    </row>
    <row r="29" spans="1:7" ht="16.5">
      <c r="A29" s="1044" t="s">
        <v>1363</v>
      </c>
      <c r="B29" s="1031">
        <v>22</v>
      </c>
      <c r="C29" s="1045"/>
      <c r="D29" s="1029">
        <v>305.77</v>
      </c>
      <c r="E29" s="1029">
        <v>387.31</v>
      </c>
      <c r="F29" s="1102">
        <v>407.7</v>
      </c>
      <c r="G29" s="1030"/>
    </row>
    <row r="30" spans="1:7" ht="16.5">
      <c r="A30" s="1044" t="s">
        <v>1364</v>
      </c>
      <c r="B30" s="1031">
        <v>22</v>
      </c>
      <c r="C30" s="1045"/>
      <c r="D30" s="1029">
        <v>551.66</v>
      </c>
      <c r="E30" s="1029">
        <v>616.57000000000005</v>
      </c>
      <c r="F30" s="1102">
        <v>649.02</v>
      </c>
      <c r="G30" s="1030"/>
    </row>
    <row r="31" spans="1:7" ht="16.5">
      <c r="A31" s="1044" t="s">
        <v>1365</v>
      </c>
      <c r="B31" s="1031">
        <v>12</v>
      </c>
      <c r="C31" s="1045"/>
      <c r="D31" s="1029">
        <v>431.14</v>
      </c>
      <c r="E31" s="1029">
        <v>546.11</v>
      </c>
      <c r="F31" s="1102">
        <v>574.86</v>
      </c>
      <c r="G31" s="1030"/>
    </row>
    <row r="32" spans="1:7" ht="16.5">
      <c r="A32" s="1044" t="s">
        <v>1366</v>
      </c>
      <c r="B32" s="1031">
        <v>12</v>
      </c>
      <c r="C32" s="1045"/>
      <c r="D32" s="1029">
        <v>651.05999999999995</v>
      </c>
      <c r="E32" s="1029">
        <v>727.65</v>
      </c>
      <c r="F32" s="1102">
        <v>765.95</v>
      </c>
      <c r="G32" s="1030"/>
    </row>
    <row r="33" spans="1:7" ht="16.5">
      <c r="A33" s="1044" t="s">
        <v>1367</v>
      </c>
      <c r="B33" s="1031">
        <v>20</v>
      </c>
      <c r="C33" s="1045"/>
      <c r="D33" s="1029">
        <v>373.85</v>
      </c>
      <c r="E33" s="1029">
        <v>473.54</v>
      </c>
      <c r="F33" s="1102">
        <v>498.46</v>
      </c>
      <c r="G33" s="1030"/>
    </row>
    <row r="34" spans="1:7" ht="16.5">
      <c r="A34" s="1044" t="s">
        <v>1368</v>
      </c>
      <c r="B34" s="1031">
        <v>66</v>
      </c>
      <c r="C34" s="1045"/>
      <c r="D34" s="1029">
        <v>678.63</v>
      </c>
      <c r="E34" s="1029">
        <v>758.47</v>
      </c>
      <c r="F34" s="1102">
        <v>798.39</v>
      </c>
      <c r="G34" s="1030"/>
    </row>
    <row r="35" spans="1:7" ht="16.5">
      <c r="A35" s="1044" t="s">
        <v>1369</v>
      </c>
      <c r="B35" s="1031">
        <v>66</v>
      </c>
      <c r="C35" s="1045"/>
      <c r="D35" s="1029">
        <v>120.03</v>
      </c>
      <c r="E35" s="1029">
        <v>152.03</v>
      </c>
      <c r="F35" s="1102">
        <v>160.04</v>
      </c>
      <c r="G35" s="1030"/>
    </row>
    <row r="36" spans="1:7" ht="16.5">
      <c r="A36" s="1044" t="s">
        <v>1370</v>
      </c>
      <c r="B36" s="1031">
        <v>66</v>
      </c>
      <c r="C36" s="1045"/>
      <c r="D36" s="1029">
        <v>212.02</v>
      </c>
      <c r="E36" s="1029">
        <v>236.97</v>
      </c>
      <c r="F36" s="1102">
        <v>249.44</v>
      </c>
      <c r="G36" s="1030"/>
    </row>
    <row r="37" spans="1:7" ht="16.5">
      <c r="A37" s="1044" t="s">
        <v>1371</v>
      </c>
      <c r="B37" s="1031">
        <v>50</v>
      </c>
      <c r="C37" s="1045"/>
      <c r="D37" s="1029">
        <v>267.23</v>
      </c>
      <c r="E37" s="1029">
        <v>338.61</v>
      </c>
      <c r="F37" s="1102">
        <v>356.43</v>
      </c>
      <c r="G37" s="1030"/>
    </row>
    <row r="38" spans="1:7" ht="16.5">
      <c r="A38" s="1044" t="s">
        <v>1372</v>
      </c>
      <c r="B38" s="1031">
        <v>50</v>
      </c>
      <c r="C38" s="1045"/>
      <c r="D38" s="1029">
        <v>410.94</v>
      </c>
      <c r="E38" s="1029">
        <v>459.29</v>
      </c>
      <c r="F38" s="1102">
        <v>483.46</v>
      </c>
      <c r="G38" s="1030"/>
    </row>
    <row r="39" spans="1:7" ht="16.5">
      <c r="A39" s="1044" t="s">
        <v>1373</v>
      </c>
      <c r="B39" s="1031">
        <v>40</v>
      </c>
      <c r="C39" s="1045"/>
      <c r="D39" s="1029">
        <v>215.1</v>
      </c>
      <c r="E39" s="1029">
        <v>272.45999999999998</v>
      </c>
      <c r="F39" s="1102">
        <v>286.8</v>
      </c>
      <c r="G39" s="1030"/>
    </row>
    <row r="40" spans="1:7" ht="16.5">
      <c r="A40" s="1105" t="s">
        <v>1374</v>
      </c>
      <c r="B40" s="1106">
        <v>5</v>
      </c>
      <c r="C40" s="1107"/>
      <c r="D40" s="1108">
        <v>1408.88</v>
      </c>
      <c r="E40" s="1108">
        <v>1784.58</v>
      </c>
      <c r="F40" s="1108">
        <v>1878.5</v>
      </c>
      <c r="G40" s="1030"/>
    </row>
    <row r="41" spans="1:7" ht="17.25" thickBot="1">
      <c r="A41" s="1032"/>
      <c r="B41" s="1032"/>
      <c r="C41" s="1033"/>
      <c r="D41" s="1103"/>
      <c r="E41" s="1092"/>
      <c r="F41" s="1092"/>
      <c r="G41" s="1032"/>
    </row>
    <row r="42" spans="1:7" ht="17.25" thickBot="1">
      <c r="A42" s="1071" t="s">
        <v>1375</v>
      </c>
      <c r="B42" s="1072" t="s">
        <v>21</v>
      </c>
      <c r="C42" s="1020"/>
      <c r="D42" s="1021"/>
      <c r="E42" s="1022"/>
      <c r="F42" s="1023"/>
      <c r="G42" s="1032"/>
    </row>
    <row r="43" spans="1:7" ht="16.5">
      <c r="A43" s="1042" t="s">
        <v>1376</v>
      </c>
      <c r="B43" s="1031">
        <v>45</v>
      </c>
      <c r="C43" s="1045"/>
      <c r="D43" s="1089">
        <v>506.73</v>
      </c>
      <c r="E43" s="1089">
        <v>566.35</v>
      </c>
      <c r="F43" s="1104">
        <v>596.16</v>
      </c>
      <c r="G43" s="1030"/>
    </row>
    <row r="44" spans="1:7" ht="16.5">
      <c r="A44" s="1044" t="s">
        <v>1377</v>
      </c>
      <c r="B44" s="1031">
        <v>66</v>
      </c>
      <c r="C44" s="1045"/>
      <c r="D44" s="1029">
        <v>212.02</v>
      </c>
      <c r="E44" s="1029">
        <v>236.97</v>
      </c>
      <c r="F44" s="1102">
        <v>249.44</v>
      </c>
      <c r="G44" s="1030"/>
    </row>
    <row r="45" spans="1:7" ht="16.5">
      <c r="A45" s="1035" t="s">
        <v>1378</v>
      </c>
      <c r="B45" s="1031">
        <v>12</v>
      </c>
      <c r="C45" s="1033"/>
      <c r="D45" s="1029">
        <v>578.28</v>
      </c>
      <c r="E45" s="1029">
        <v>646.32000000000005</v>
      </c>
      <c r="F45" s="1102">
        <v>680.33</v>
      </c>
      <c r="G45" s="1032"/>
    </row>
    <row r="46" spans="1:7" ht="16.5">
      <c r="A46" s="1044" t="s">
        <v>1379</v>
      </c>
      <c r="B46" s="1031">
        <v>22</v>
      </c>
      <c r="C46" s="1045"/>
      <c r="D46" s="1029">
        <v>497.91</v>
      </c>
      <c r="E46" s="1029">
        <v>556.48</v>
      </c>
      <c r="F46" s="1102">
        <v>585.77</v>
      </c>
      <c r="G46" s="1030"/>
    </row>
    <row r="47" spans="1:7" ht="16.5">
      <c r="A47" s="1044" t="s">
        <v>1380</v>
      </c>
      <c r="B47" s="1031">
        <v>12</v>
      </c>
      <c r="C47" s="1045"/>
      <c r="D47" s="1029">
        <v>742.63</v>
      </c>
      <c r="E47" s="1029">
        <v>830</v>
      </c>
      <c r="F47" s="1102">
        <v>873.68</v>
      </c>
      <c r="G47" s="1030"/>
    </row>
    <row r="48" spans="1:7" ht="16.5">
      <c r="A48" s="1044" t="s">
        <v>1381</v>
      </c>
      <c r="B48" s="1031">
        <v>60</v>
      </c>
      <c r="C48" s="1045"/>
      <c r="D48" s="1029">
        <v>195.17</v>
      </c>
      <c r="E48" s="1029">
        <v>218.13</v>
      </c>
      <c r="F48" s="1102">
        <v>229.61</v>
      </c>
      <c r="G48" s="1030"/>
    </row>
    <row r="49" spans="1:7" ht="60.75" customHeight="1">
      <c r="A49" s="1109"/>
      <c r="B49" s="1032"/>
      <c r="C49" s="1033"/>
      <c r="D49" s="1110" t="s">
        <v>1331</v>
      </c>
      <c r="E49" s="1111"/>
      <c r="F49" s="1111"/>
      <c r="G49" s="1033"/>
    </row>
    <row r="50" spans="1:7" ht="16.5">
      <c r="A50" s="1112"/>
      <c r="B50" s="1113"/>
      <c r="C50" s="1114"/>
      <c r="D50" s="1115"/>
      <c r="E50" s="1115"/>
      <c r="F50" s="1115"/>
      <c r="G50" s="1113"/>
    </row>
  </sheetData>
  <customSheetViews>
    <customSheetView guid="{FBB3E572-A647-4B8C-96C7-F43FE4F7CAA8}" state="hidden">
      <selection activeCell="A20" sqref="A20"/>
      <pageMargins left="0.7" right="0.7" top="0.75" bottom="0.75" header="0.3" footer="0.3"/>
      <pageSetup paperSize="9" orientation="portrait" horizontalDpi="0" verticalDpi="0" r:id="rId1"/>
    </customSheetView>
    <customSheetView guid="{900EF7B2-0D63-4DE2-9CFC-2D2B3788802C}" showPageBreaks="1">
      <selection activeCell="A20" sqref="A20"/>
      <pageMargins left="0.11811023622047245" right="0.11811023622047245" top="0" bottom="0" header="0.31496062992125984" footer="0.31496062992125984"/>
      <pageSetup paperSize="9" scale="60" orientation="portrait" verticalDpi="0" r:id="rId2"/>
    </customSheetView>
    <customSheetView guid="{CC6D6007-EFDE-464F-BD7C-A67043AC5D5C}" state="hidden">
      <selection activeCell="A20" sqref="A20"/>
      <pageMargins left="0.7" right="0.7" top="0.75" bottom="0.75" header="0.3" footer="0.3"/>
      <pageSetup paperSize="9" orientation="portrait" horizontalDpi="0" verticalDpi="0" r:id="rId3"/>
    </customSheetView>
    <customSheetView guid="{C0FE86CC-5BB4-4265-957F-F51B909B3E81}">
      <selection activeCell="A20" sqref="A20"/>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3.xml><?xml version="1.0" encoding="utf-8"?>
<worksheet xmlns="http://schemas.openxmlformats.org/spreadsheetml/2006/main" xmlns:r="http://schemas.openxmlformats.org/officeDocument/2006/relationships">
  <sheetPr codeName="Лист2">
    <tabColor rgb="FF00B050"/>
  </sheetPr>
  <dimension ref="B1:P31"/>
  <sheetViews>
    <sheetView view="pageBreakPreview" zoomScale="90" zoomScaleSheetLayoutView="90" workbookViewId="0">
      <pane ySplit="5" topLeftCell="A12" activePane="bottomLeft" state="frozen"/>
      <selection pane="bottomLeft" activeCell="B2" sqref="B2:K2"/>
    </sheetView>
  </sheetViews>
  <sheetFormatPr defaultRowHeight="15"/>
  <cols>
    <col min="1" max="1" width="0.28515625" style="258" customWidth="1"/>
    <col min="2" max="2" width="22.5703125" style="257" customWidth="1"/>
    <col min="3" max="3" width="31.140625" style="257" customWidth="1"/>
    <col min="4" max="4" width="15.42578125" style="259" customWidth="1"/>
    <col min="5" max="5" width="4.28515625" style="259" bestFit="1" customWidth="1"/>
    <col min="6" max="6" width="6" style="259" customWidth="1"/>
    <col min="7" max="7" width="16.7109375" style="259" customWidth="1"/>
    <col min="8" max="10" width="9.140625" style="259"/>
    <col min="11" max="11" width="25.7109375" style="259" customWidth="1"/>
    <col min="12" max="12" width="18.7109375" style="259" hidden="1" customWidth="1"/>
    <col min="13" max="13" width="0.140625" style="260" hidden="1" customWidth="1"/>
    <col min="14" max="14" width="1.140625" style="261" hidden="1" customWidth="1"/>
    <col min="15" max="15" width="8.5703125" style="261" hidden="1" customWidth="1"/>
    <col min="16" max="16" width="0.140625" style="258" hidden="1" customWidth="1"/>
    <col min="17" max="17" width="6.42578125" style="258" customWidth="1"/>
    <col min="18" max="16384" width="9.140625" style="258"/>
  </cols>
  <sheetData>
    <row r="1" spans="2:16" ht="3" customHeight="1"/>
    <row r="2" spans="2:16" ht="15.75" customHeight="1" thickBot="1">
      <c r="B2" s="321" t="s">
        <v>929</v>
      </c>
      <c r="C2" s="321"/>
      <c r="D2" s="321"/>
      <c r="E2" s="321"/>
      <c r="F2" s="321"/>
      <c r="G2" s="321"/>
      <c r="H2" s="321"/>
      <c r="I2" s="321"/>
      <c r="J2" s="321"/>
      <c r="K2" s="324" t="s">
        <v>430</v>
      </c>
    </row>
    <row r="3" spans="2:16" s="264" customFormat="1" ht="36.75" customHeight="1" thickBot="1">
      <c r="B3" s="1601" t="s">
        <v>23</v>
      </c>
      <c r="C3" s="1593" t="s">
        <v>0</v>
      </c>
      <c r="D3" s="1593" t="s">
        <v>16</v>
      </c>
      <c r="E3" s="1593" t="s">
        <v>15</v>
      </c>
      <c r="F3" s="1593"/>
      <c r="G3" s="1594"/>
      <c r="H3" s="1597" t="s">
        <v>37</v>
      </c>
      <c r="I3" s="1598"/>
      <c r="J3" s="1598"/>
      <c r="K3" s="1599"/>
      <c r="L3" s="1600"/>
      <c r="M3" s="262"/>
      <c r="N3" s="1577" t="s">
        <v>372</v>
      </c>
      <c r="O3" s="1577" t="s">
        <v>36</v>
      </c>
      <c r="P3" s="263"/>
    </row>
    <row r="4" spans="2:16" s="267" customFormat="1" ht="17.25">
      <c r="B4" s="1602"/>
      <c r="C4" s="1604"/>
      <c r="D4" s="1604"/>
      <c r="E4" s="1585" t="s">
        <v>21</v>
      </c>
      <c r="F4" s="1585" t="s">
        <v>1</v>
      </c>
      <c r="G4" s="1587" t="s">
        <v>2</v>
      </c>
      <c r="H4" s="1582" t="s">
        <v>38</v>
      </c>
      <c r="I4" s="1583"/>
      <c r="J4" s="1583"/>
      <c r="K4" s="1584"/>
      <c r="L4" s="265" t="s">
        <v>22</v>
      </c>
      <c r="M4" s="266"/>
      <c r="N4" s="1577"/>
      <c r="O4" s="1577"/>
      <c r="P4" s="263"/>
    </row>
    <row r="5" spans="2:16" s="267" customFormat="1" ht="18" thickBot="1">
      <c r="B5" s="1603"/>
      <c r="C5" s="1605"/>
      <c r="D5" s="1605"/>
      <c r="E5" s="1586"/>
      <c r="F5" s="1586"/>
      <c r="G5" s="1588"/>
      <c r="H5" s="268" t="s">
        <v>17</v>
      </c>
      <c r="I5" s="269" t="s">
        <v>19</v>
      </c>
      <c r="J5" s="269" t="s">
        <v>20</v>
      </c>
      <c r="K5" s="270" t="s">
        <v>18</v>
      </c>
      <c r="L5" s="270" t="s">
        <v>18</v>
      </c>
      <c r="M5" s="266"/>
      <c r="N5" s="1577"/>
      <c r="O5" s="1577"/>
      <c r="P5" s="263"/>
    </row>
    <row r="6" spans="2:16" ht="45.75" customHeight="1">
      <c r="B6" s="1607" t="s">
        <v>24</v>
      </c>
      <c r="C6" s="1606" t="s">
        <v>3</v>
      </c>
      <c r="D6" s="271" t="s">
        <v>4</v>
      </c>
      <c r="E6" s="272">
        <v>8</v>
      </c>
      <c r="F6" s="273">
        <v>5.76</v>
      </c>
      <c r="G6" s="274">
        <v>0.28799999999999998</v>
      </c>
      <c r="H6" s="275">
        <f>O6*1.25+250</f>
        <v>1076.25</v>
      </c>
      <c r="I6" s="276">
        <f>O6*1.2+250</f>
        <v>1043.1999999999998</v>
      </c>
      <c r="J6" s="276">
        <f>O6*1.1+250</f>
        <v>977.1</v>
      </c>
      <c r="K6" s="277">
        <f>O6*1.03+250</f>
        <v>930.83</v>
      </c>
      <c r="L6" s="278">
        <f>O6*1.03</f>
        <v>680.83</v>
      </c>
      <c r="N6" s="261">
        <f>O6+250</f>
        <v>911</v>
      </c>
      <c r="O6" s="261">
        <v>661</v>
      </c>
    </row>
    <row r="7" spans="2:16" ht="45" customHeight="1">
      <c r="B7" s="1579"/>
      <c r="C7" s="1581"/>
      <c r="D7" s="279" t="s">
        <v>5</v>
      </c>
      <c r="E7" s="280">
        <v>4</v>
      </c>
      <c r="F7" s="281">
        <v>2.88</v>
      </c>
      <c r="G7" s="282">
        <v>0.28799999999999998</v>
      </c>
      <c r="H7" s="283">
        <f t="shared" ref="H7:H31" si="0">O7*1.25+250</f>
        <v>1076.25</v>
      </c>
      <c r="I7" s="284">
        <f t="shared" ref="I7:I31" si="1">O7*1.2+250</f>
        <v>1043.1999999999998</v>
      </c>
      <c r="J7" s="284">
        <f t="shared" ref="J7:J31" si="2">O7*1.1+250</f>
        <v>977.1</v>
      </c>
      <c r="K7" s="285">
        <f>O7*1.03+250</f>
        <v>930.83</v>
      </c>
      <c r="L7" s="286">
        <f t="shared" ref="L7:L30" si="3">O7*1.03</f>
        <v>680.83</v>
      </c>
      <c r="N7" s="261">
        <f t="shared" ref="N7:N29" si="4">O7+250</f>
        <v>911</v>
      </c>
      <c r="O7" s="261">
        <v>661</v>
      </c>
    </row>
    <row r="8" spans="2:16" ht="39.75" customHeight="1">
      <c r="B8" s="1578" t="s">
        <v>373</v>
      </c>
      <c r="C8" s="1580" t="s">
        <v>374</v>
      </c>
      <c r="D8" s="287" t="s">
        <v>4</v>
      </c>
      <c r="E8" s="288">
        <v>8</v>
      </c>
      <c r="F8" s="289">
        <v>5.76</v>
      </c>
      <c r="G8" s="290">
        <v>0.28799999999999998</v>
      </c>
      <c r="H8" s="291">
        <f t="shared" si="0"/>
        <v>1212.5</v>
      </c>
      <c r="I8" s="292">
        <f t="shared" si="1"/>
        <v>1174</v>
      </c>
      <c r="J8" s="292">
        <f t="shared" si="2"/>
        <v>1097</v>
      </c>
      <c r="K8" s="293">
        <f t="shared" ref="K8:K31" si="5">O8*1.03+250</f>
        <v>1043.0999999999999</v>
      </c>
      <c r="L8" s="294">
        <f t="shared" si="3"/>
        <v>793.1</v>
      </c>
      <c r="N8" s="261">
        <f t="shared" ref="N8:N9" si="6">O8+250</f>
        <v>1020</v>
      </c>
      <c r="O8" s="261">
        <v>770</v>
      </c>
    </row>
    <row r="9" spans="2:16" ht="36.75" customHeight="1">
      <c r="B9" s="1579"/>
      <c r="C9" s="1581"/>
      <c r="D9" s="279" t="s">
        <v>5</v>
      </c>
      <c r="E9" s="280">
        <v>4</v>
      </c>
      <c r="F9" s="281">
        <v>2.88</v>
      </c>
      <c r="G9" s="282">
        <v>0.28799999999999998</v>
      </c>
      <c r="H9" s="283">
        <f t="shared" si="0"/>
        <v>1212.5</v>
      </c>
      <c r="I9" s="284">
        <f t="shared" si="1"/>
        <v>1174</v>
      </c>
      <c r="J9" s="284">
        <f t="shared" si="2"/>
        <v>1097</v>
      </c>
      <c r="K9" s="285">
        <f t="shared" si="5"/>
        <v>1043.0999999999999</v>
      </c>
      <c r="L9" s="286">
        <f t="shared" si="3"/>
        <v>793.1</v>
      </c>
      <c r="N9" s="261">
        <f t="shared" si="6"/>
        <v>1020</v>
      </c>
      <c r="O9" s="261">
        <v>770</v>
      </c>
    </row>
    <row r="10" spans="2:16" ht="39.75" customHeight="1">
      <c r="B10" s="1578" t="s">
        <v>25</v>
      </c>
      <c r="C10" s="1580" t="s">
        <v>6</v>
      </c>
      <c r="D10" s="287" t="s">
        <v>4</v>
      </c>
      <c r="E10" s="288">
        <v>8</v>
      </c>
      <c r="F10" s="289">
        <v>5.76</v>
      </c>
      <c r="G10" s="290">
        <v>0.28799999999999998</v>
      </c>
      <c r="H10" s="291">
        <f t="shared" si="0"/>
        <v>1496.25</v>
      </c>
      <c r="I10" s="292">
        <f t="shared" si="1"/>
        <v>1446.3999999999999</v>
      </c>
      <c r="J10" s="292">
        <f t="shared" si="2"/>
        <v>1346.7</v>
      </c>
      <c r="K10" s="293">
        <f t="shared" si="5"/>
        <v>1276.9100000000001</v>
      </c>
      <c r="L10" s="294">
        <f t="shared" si="3"/>
        <v>1026.9100000000001</v>
      </c>
      <c r="N10" s="261">
        <f t="shared" si="4"/>
        <v>1247</v>
      </c>
      <c r="O10" s="261">
        <v>997</v>
      </c>
    </row>
    <row r="11" spans="2:16" ht="36.75" customHeight="1">
      <c r="B11" s="1579"/>
      <c r="C11" s="1581"/>
      <c r="D11" s="279" t="s">
        <v>5</v>
      </c>
      <c r="E11" s="280">
        <v>4</v>
      </c>
      <c r="F11" s="281">
        <v>2.88</v>
      </c>
      <c r="G11" s="282">
        <v>0.28799999999999998</v>
      </c>
      <c r="H11" s="283">
        <f t="shared" si="0"/>
        <v>1496.25</v>
      </c>
      <c r="I11" s="284">
        <f t="shared" si="1"/>
        <v>1446.3999999999999</v>
      </c>
      <c r="J11" s="284">
        <f t="shared" si="2"/>
        <v>1346.7</v>
      </c>
      <c r="K11" s="285">
        <f t="shared" si="5"/>
        <v>1276.9100000000001</v>
      </c>
      <c r="L11" s="286">
        <f t="shared" si="3"/>
        <v>1026.9100000000001</v>
      </c>
      <c r="N11" s="261">
        <f t="shared" si="4"/>
        <v>1247</v>
      </c>
      <c r="O11" s="261">
        <v>997</v>
      </c>
    </row>
    <row r="12" spans="2:16" ht="73.5" customHeight="1">
      <c r="B12" s="1578" t="s">
        <v>26</v>
      </c>
      <c r="C12" s="1595" t="s">
        <v>245</v>
      </c>
      <c r="D12" s="295" t="s">
        <v>4</v>
      </c>
      <c r="E12" s="296">
        <v>8</v>
      </c>
      <c r="F12" s="289">
        <v>5.76</v>
      </c>
      <c r="G12" s="290">
        <v>0.28799999999999998</v>
      </c>
      <c r="H12" s="291">
        <f t="shared" si="0"/>
        <v>1902.55</v>
      </c>
      <c r="I12" s="292">
        <f t="shared" si="1"/>
        <v>1836.4479999999999</v>
      </c>
      <c r="J12" s="292">
        <f t="shared" si="2"/>
        <v>1704.2440000000001</v>
      </c>
      <c r="K12" s="293">
        <f t="shared" si="5"/>
        <v>1611.7012</v>
      </c>
      <c r="L12" s="294">
        <f t="shared" si="3"/>
        <v>1361.7012</v>
      </c>
      <c r="N12" s="261">
        <f t="shared" si="4"/>
        <v>1572.04</v>
      </c>
      <c r="O12" s="261">
        <v>1322.04</v>
      </c>
    </row>
    <row r="13" spans="2:16" ht="78" customHeight="1">
      <c r="B13" s="1579"/>
      <c r="C13" s="1596"/>
      <c r="D13" s="297" t="s">
        <v>5</v>
      </c>
      <c r="E13" s="280">
        <v>4</v>
      </c>
      <c r="F13" s="281">
        <v>2.88</v>
      </c>
      <c r="G13" s="282">
        <v>0.28799999999999998</v>
      </c>
      <c r="H13" s="283">
        <f t="shared" si="0"/>
        <v>1902.55</v>
      </c>
      <c r="I13" s="284">
        <f t="shared" si="1"/>
        <v>1836.4479999999999</v>
      </c>
      <c r="J13" s="284">
        <f t="shared" si="2"/>
        <v>1704.2440000000001</v>
      </c>
      <c r="K13" s="285">
        <f t="shared" si="5"/>
        <v>1611.7012</v>
      </c>
      <c r="L13" s="286">
        <f t="shared" si="3"/>
        <v>1361.7012</v>
      </c>
      <c r="N13" s="261">
        <f t="shared" si="4"/>
        <v>1572.04</v>
      </c>
      <c r="O13" s="261">
        <v>1322.04</v>
      </c>
    </row>
    <row r="14" spans="2:16" ht="64.5" customHeight="1">
      <c r="B14" s="1578" t="s">
        <v>27</v>
      </c>
      <c r="C14" s="1595" t="s">
        <v>7</v>
      </c>
      <c r="D14" s="287" t="s">
        <v>4</v>
      </c>
      <c r="E14" s="288">
        <v>8</v>
      </c>
      <c r="F14" s="289">
        <v>5.76</v>
      </c>
      <c r="G14" s="290">
        <v>0.28799999999999998</v>
      </c>
      <c r="H14" s="291">
        <f t="shared" si="0"/>
        <v>1675</v>
      </c>
      <c r="I14" s="292">
        <f t="shared" si="1"/>
        <v>1618</v>
      </c>
      <c r="J14" s="292">
        <f t="shared" si="2"/>
        <v>1504</v>
      </c>
      <c r="K14" s="293">
        <f t="shared" si="5"/>
        <v>1424.2</v>
      </c>
      <c r="L14" s="294">
        <f t="shared" si="3"/>
        <v>1174.2</v>
      </c>
      <c r="N14" s="261">
        <f t="shared" si="4"/>
        <v>1390</v>
      </c>
      <c r="O14" s="261">
        <v>1140</v>
      </c>
    </row>
    <row r="15" spans="2:16" ht="70.5" customHeight="1">
      <c r="B15" s="1579"/>
      <c r="C15" s="1596"/>
      <c r="D15" s="279" t="s">
        <v>5</v>
      </c>
      <c r="E15" s="280">
        <v>4</v>
      </c>
      <c r="F15" s="281">
        <v>2.88</v>
      </c>
      <c r="G15" s="282">
        <v>0.28799999999999998</v>
      </c>
      <c r="H15" s="283">
        <f t="shared" si="0"/>
        <v>1675</v>
      </c>
      <c r="I15" s="284">
        <f t="shared" si="1"/>
        <v>1618</v>
      </c>
      <c r="J15" s="284">
        <f t="shared" si="2"/>
        <v>1504</v>
      </c>
      <c r="K15" s="285">
        <f t="shared" si="5"/>
        <v>1424.2</v>
      </c>
      <c r="L15" s="286">
        <f t="shared" si="3"/>
        <v>1174.2</v>
      </c>
      <c r="N15" s="261">
        <f t="shared" si="4"/>
        <v>1390</v>
      </c>
      <c r="O15" s="261">
        <v>1140</v>
      </c>
    </row>
    <row r="16" spans="2:16" ht="54" customHeight="1">
      <c r="B16" s="1589" t="s">
        <v>28</v>
      </c>
      <c r="C16" s="1595" t="s">
        <v>8</v>
      </c>
      <c r="D16" s="295" t="s">
        <v>4</v>
      </c>
      <c r="E16" s="296">
        <v>8</v>
      </c>
      <c r="F16" s="298">
        <v>5.76</v>
      </c>
      <c r="G16" s="299">
        <v>0.28799999999999998</v>
      </c>
      <c r="H16" s="291">
        <f t="shared" si="0"/>
        <v>2237.5</v>
      </c>
      <c r="I16" s="292">
        <f t="shared" si="1"/>
        <v>2158</v>
      </c>
      <c r="J16" s="292">
        <f t="shared" si="2"/>
        <v>1999.0000000000002</v>
      </c>
      <c r="K16" s="293">
        <f t="shared" si="5"/>
        <v>1887.7</v>
      </c>
      <c r="L16" s="294">
        <f t="shared" si="3"/>
        <v>1637.7</v>
      </c>
      <c r="N16" s="261">
        <f t="shared" si="4"/>
        <v>1840</v>
      </c>
      <c r="O16" s="261">
        <v>1590</v>
      </c>
    </row>
    <row r="17" spans="2:16" ht="53.25" customHeight="1">
      <c r="B17" s="1590"/>
      <c r="C17" s="1596"/>
      <c r="D17" s="297" t="s">
        <v>5</v>
      </c>
      <c r="E17" s="300">
        <v>4</v>
      </c>
      <c r="F17" s="301">
        <v>2.88</v>
      </c>
      <c r="G17" s="302">
        <v>0.28799999999999998</v>
      </c>
      <c r="H17" s="283">
        <f t="shared" si="0"/>
        <v>2237.5</v>
      </c>
      <c r="I17" s="284">
        <f t="shared" si="1"/>
        <v>2158</v>
      </c>
      <c r="J17" s="284">
        <f t="shared" si="2"/>
        <v>1999.0000000000002</v>
      </c>
      <c r="K17" s="285">
        <f t="shared" si="5"/>
        <v>1887.7</v>
      </c>
      <c r="L17" s="286">
        <f t="shared" si="3"/>
        <v>1637.7</v>
      </c>
      <c r="N17" s="261">
        <f t="shared" si="4"/>
        <v>1840</v>
      </c>
      <c r="O17" s="261">
        <v>1590</v>
      </c>
    </row>
    <row r="18" spans="2:16" ht="100.5" customHeight="1">
      <c r="B18" s="1589" t="s">
        <v>29</v>
      </c>
      <c r="C18" s="1595" t="s">
        <v>9</v>
      </c>
      <c r="D18" s="287" t="s">
        <v>4</v>
      </c>
      <c r="E18" s="288">
        <v>6</v>
      </c>
      <c r="F18" s="289">
        <v>4.32</v>
      </c>
      <c r="G18" s="290">
        <v>0.216</v>
      </c>
      <c r="H18" s="291">
        <f t="shared" si="0"/>
        <v>2731.25</v>
      </c>
      <c r="I18" s="292">
        <f t="shared" si="1"/>
        <v>2632</v>
      </c>
      <c r="J18" s="292">
        <f t="shared" si="2"/>
        <v>2433.5</v>
      </c>
      <c r="K18" s="293">
        <f t="shared" si="5"/>
        <v>2294.5500000000002</v>
      </c>
      <c r="L18" s="294">
        <f t="shared" si="3"/>
        <v>2044.55</v>
      </c>
      <c r="N18" s="261">
        <f t="shared" si="4"/>
        <v>2235</v>
      </c>
      <c r="O18" s="261">
        <v>1985</v>
      </c>
    </row>
    <row r="19" spans="2:16" ht="111" customHeight="1">
      <c r="B19" s="1590"/>
      <c r="C19" s="1596"/>
      <c r="D19" s="279" t="s">
        <v>5</v>
      </c>
      <c r="E19" s="280">
        <v>4</v>
      </c>
      <c r="F19" s="281">
        <v>2.88</v>
      </c>
      <c r="G19" s="282">
        <v>0.28799999999999998</v>
      </c>
      <c r="H19" s="283">
        <f t="shared" si="0"/>
        <v>2731.25</v>
      </c>
      <c r="I19" s="284">
        <f t="shared" si="1"/>
        <v>2632</v>
      </c>
      <c r="J19" s="284">
        <f t="shared" si="2"/>
        <v>2433.5</v>
      </c>
      <c r="K19" s="285">
        <f t="shared" si="5"/>
        <v>2294.5500000000002</v>
      </c>
      <c r="L19" s="286">
        <f t="shared" si="3"/>
        <v>2044.55</v>
      </c>
      <c r="N19" s="261">
        <f t="shared" si="4"/>
        <v>2235</v>
      </c>
      <c r="O19" s="261">
        <v>1985</v>
      </c>
    </row>
    <row r="20" spans="2:16" ht="54" customHeight="1">
      <c r="B20" s="1589" t="s">
        <v>30</v>
      </c>
      <c r="C20" s="1595" t="s">
        <v>10</v>
      </c>
      <c r="D20" s="287" t="s">
        <v>4</v>
      </c>
      <c r="E20" s="288">
        <v>6</v>
      </c>
      <c r="F20" s="289">
        <v>4.32</v>
      </c>
      <c r="G20" s="290">
        <v>0.216</v>
      </c>
      <c r="H20" s="291">
        <f t="shared" si="0"/>
        <v>3223.75</v>
      </c>
      <c r="I20" s="292">
        <f t="shared" si="1"/>
        <v>3104.7999999999997</v>
      </c>
      <c r="J20" s="292">
        <f t="shared" si="2"/>
        <v>2866.9</v>
      </c>
      <c r="K20" s="293">
        <f t="shared" si="5"/>
        <v>2700.37</v>
      </c>
      <c r="L20" s="294">
        <f t="shared" si="3"/>
        <v>2450.37</v>
      </c>
      <c r="N20" s="261">
        <f t="shared" si="4"/>
        <v>2629</v>
      </c>
      <c r="O20" s="261">
        <v>2379</v>
      </c>
    </row>
    <row r="21" spans="2:16" ht="54.75" customHeight="1">
      <c r="B21" s="1590"/>
      <c r="C21" s="1596"/>
      <c r="D21" s="279" t="s">
        <v>5</v>
      </c>
      <c r="E21" s="280">
        <v>4</v>
      </c>
      <c r="F21" s="281">
        <v>2.88</v>
      </c>
      <c r="G21" s="282">
        <v>0.28799999999999998</v>
      </c>
      <c r="H21" s="283">
        <f t="shared" si="0"/>
        <v>3223.75</v>
      </c>
      <c r="I21" s="284">
        <f t="shared" si="1"/>
        <v>3104.7999999999997</v>
      </c>
      <c r="J21" s="284">
        <f t="shared" si="2"/>
        <v>2866.9</v>
      </c>
      <c r="K21" s="285">
        <f t="shared" si="5"/>
        <v>2700.37</v>
      </c>
      <c r="L21" s="286">
        <f t="shared" si="3"/>
        <v>2450.37</v>
      </c>
      <c r="N21" s="261">
        <f t="shared" si="4"/>
        <v>2629</v>
      </c>
      <c r="O21" s="261">
        <v>2379</v>
      </c>
    </row>
    <row r="22" spans="2:16" ht="39" customHeight="1">
      <c r="B22" s="1589" t="s">
        <v>31</v>
      </c>
      <c r="C22" s="1595" t="s">
        <v>11</v>
      </c>
      <c r="D22" s="287" t="s">
        <v>4</v>
      </c>
      <c r="E22" s="288">
        <v>6</v>
      </c>
      <c r="F22" s="289">
        <v>4.32</v>
      </c>
      <c r="G22" s="290">
        <v>0.216</v>
      </c>
      <c r="H22" s="291">
        <f t="shared" si="0"/>
        <v>4025</v>
      </c>
      <c r="I22" s="292">
        <f t="shared" si="1"/>
        <v>3874</v>
      </c>
      <c r="J22" s="292">
        <f t="shared" si="2"/>
        <v>3572.0000000000005</v>
      </c>
      <c r="K22" s="293">
        <f t="shared" si="5"/>
        <v>3360.6</v>
      </c>
      <c r="L22" s="294">
        <f t="shared" si="3"/>
        <v>3110.6</v>
      </c>
      <c r="N22" s="261">
        <f t="shared" si="4"/>
        <v>3270</v>
      </c>
      <c r="O22" s="261">
        <v>3020</v>
      </c>
    </row>
    <row r="23" spans="2:16" ht="38.25" customHeight="1">
      <c r="B23" s="1590"/>
      <c r="C23" s="1596"/>
      <c r="D23" s="279" t="s">
        <v>5</v>
      </c>
      <c r="E23" s="280">
        <v>3</v>
      </c>
      <c r="F23" s="281">
        <v>2.16</v>
      </c>
      <c r="G23" s="282">
        <v>0.216</v>
      </c>
      <c r="H23" s="283">
        <f t="shared" si="0"/>
        <v>4025</v>
      </c>
      <c r="I23" s="284">
        <f t="shared" si="1"/>
        <v>3874</v>
      </c>
      <c r="J23" s="284">
        <f t="shared" si="2"/>
        <v>3572.0000000000005</v>
      </c>
      <c r="K23" s="285">
        <f t="shared" si="5"/>
        <v>3360.6</v>
      </c>
      <c r="L23" s="286">
        <f t="shared" si="3"/>
        <v>3110.6</v>
      </c>
      <c r="N23" s="261">
        <f t="shared" si="4"/>
        <v>3270</v>
      </c>
      <c r="O23" s="261">
        <v>3020</v>
      </c>
    </row>
    <row r="24" spans="2:16" ht="69" customHeight="1">
      <c r="B24" s="1591" t="s">
        <v>32</v>
      </c>
      <c r="C24" s="1608" t="s">
        <v>12</v>
      </c>
      <c r="D24" s="303" t="s">
        <v>4</v>
      </c>
      <c r="E24" s="304">
        <v>6</v>
      </c>
      <c r="F24" s="305">
        <v>4.32</v>
      </c>
      <c r="G24" s="306">
        <v>0.216</v>
      </c>
      <c r="H24" s="307">
        <f t="shared" si="0"/>
        <v>3886.25</v>
      </c>
      <c r="I24" s="308">
        <f t="shared" si="1"/>
        <v>3740.7999999999997</v>
      </c>
      <c r="J24" s="308">
        <f t="shared" si="2"/>
        <v>3449.9</v>
      </c>
      <c r="K24" s="309">
        <f t="shared" si="5"/>
        <v>3246.27</v>
      </c>
      <c r="L24" s="310">
        <f t="shared" si="3"/>
        <v>2996.27</v>
      </c>
      <c r="N24" s="261">
        <f t="shared" si="4"/>
        <v>3159</v>
      </c>
      <c r="O24" s="261">
        <v>2909</v>
      </c>
    </row>
    <row r="25" spans="2:16" ht="67.5" customHeight="1">
      <c r="B25" s="1592"/>
      <c r="C25" s="1609"/>
      <c r="D25" s="311" t="s">
        <v>5</v>
      </c>
      <c r="E25" s="312">
        <v>3</v>
      </c>
      <c r="F25" s="313">
        <v>2.16</v>
      </c>
      <c r="G25" s="314">
        <v>0.216</v>
      </c>
      <c r="H25" s="307">
        <f t="shared" si="0"/>
        <v>3886.25</v>
      </c>
      <c r="I25" s="308">
        <f t="shared" si="1"/>
        <v>3740.7999999999997</v>
      </c>
      <c r="J25" s="308">
        <f t="shared" si="2"/>
        <v>3449.9</v>
      </c>
      <c r="K25" s="309">
        <f t="shared" si="5"/>
        <v>3246.27</v>
      </c>
      <c r="L25" s="310">
        <f t="shared" si="3"/>
        <v>2996.27</v>
      </c>
      <c r="N25" s="261">
        <f t="shared" si="4"/>
        <v>3159</v>
      </c>
      <c r="O25" s="261">
        <v>2909</v>
      </c>
    </row>
    <row r="26" spans="2:16" ht="90.75" customHeight="1">
      <c r="B26" s="315" t="s">
        <v>33</v>
      </c>
      <c r="C26" s="316" t="s">
        <v>11</v>
      </c>
      <c r="D26" s="279" t="s">
        <v>5</v>
      </c>
      <c r="E26" s="280">
        <v>2</v>
      </c>
      <c r="F26" s="281">
        <v>1.44</v>
      </c>
      <c r="G26" s="282">
        <v>0.14399999999999999</v>
      </c>
      <c r="H26" s="317">
        <f t="shared" si="0"/>
        <v>4712.5</v>
      </c>
      <c r="I26" s="318">
        <f t="shared" si="1"/>
        <v>4534</v>
      </c>
      <c r="J26" s="318">
        <f t="shared" si="2"/>
        <v>4177</v>
      </c>
      <c r="K26" s="319">
        <f t="shared" si="5"/>
        <v>3927.1</v>
      </c>
      <c r="L26" s="320">
        <f t="shared" si="3"/>
        <v>3677.1</v>
      </c>
      <c r="N26" s="261">
        <f t="shared" si="4"/>
        <v>3820</v>
      </c>
      <c r="O26" s="261">
        <v>3570</v>
      </c>
    </row>
    <row r="27" spans="2:16" ht="41.25" customHeight="1">
      <c r="B27" s="1578" t="s">
        <v>34</v>
      </c>
      <c r="C27" s="1580" t="s">
        <v>14</v>
      </c>
      <c r="D27" s="287" t="s">
        <v>4</v>
      </c>
      <c r="E27" s="288">
        <v>6</v>
      </c>
      <c r="F27" s="289">
        <v>4.32</v>
      </c>
      <c r="G27" s="290">
        <v>0.216</v>
      </c>
      <c r="H27" s="291">
        <f t="shared" si="0"/>
        <v>5742.5</v>
      </c>
      <c r="I27" s="292">
        <f t="shared" si="1"/>
        <v>5522.8</v>
      </c>
      <c r="J27" s="292">
        <f t="shared" si="2"/>
        <v>5083.4000000000005</v>
      </c>
      <c r="K27" s="293">
        <f t="shared" si="5"/>
        <v>4775.82</v>
      </c>
      <c r="L27" s="294">
        <f t="shared" si="3"/>
        <v>4525.82</v>
      </c>
      <c r="N27" s="261">
        <f t="shared" si="4"/>
        <v>4644</v>
      </c>
      <c r="O27" s="261">
        <v>4394</v>
      </c>
    </row>
    <row r="28" spans="2:16" ht="34.5" customHeight="1">
      <c r="B28" s="1579"/>
      <c r="C28" s="1581"/>
      <c r="D28" s="279" t="s">
        <v>5</v>
      </c>
      <c r="E28" s="280">
        <v>3</v>
      </c>
      <c r="F28" s="281">
        <v>2.16</v>
      </c>
      <c r="G28" s="282">
        <v>0.216</v>
      </c>
      <c r="H28" s="283">
        <f t="shared" si="0"/>
        <v>5742.5</v>
      </c>
      <c r="I28" s="284">
        <f t="shared" si="1"/>
        <v>5522.8</v>
      </c>
      <c r="J28" s="284">
        <f t="shared" si="2"/>
        <v>5083.4000000000005</v>
      </c>
      <c r="K28" s="285">
        <f t="shared" si="5"/>
        <v>4775.82</v>
      </c>
      <c r="L28" s="286">
        <f t="shared" si="3"/>
        <v>4525.82</v>
      </c>
      <c r="N28" s="261">
        <f t="shared" si="4"/>
        <v>4644</v>
      </c>
      <c r="O28" s="261">
        <v>4394</v>
      </c>
    </row>
    <row r="29" spans="2:16" ht="107.25" customHeight="1" thickBot="1">
      <c r="B29" s="462" t="s">
        <v>35</v>
      </c>
      <c r="C29" s="463" t="s">
        <v>13</v>
      </c>
      <c r="D29" s="464" t="s">
        <v>4</v>
      </c>
      <c r="E29" s="465">
        <v>4</v>
      </c>
      <c r="F29" s="466">
        <v>2.88</v>
      </c>
      <c r="G29" s="467">
        <v>0.14399999999999999</v>
      </c>
      <c r="H29" s="468">
        <f t="shared" si="0"/>
        <v>5867.5</v>
      </c>
      <c r="I29" s="469">
        <f t="shared" si="1"/>
        <v>5642.8</v>
      </c>
      <c r="J29" s="469">
        <f t="shared" si="2"/>
        <v>5193.4000000000005</v>
      </c>
      <c r="K29" s="470">
        <f t="shared" si="5"/>
        <v>4878.82</v>
      </c>
      <c r="L29" s="471">
        <f t="shared" si="3"/>
        <v>4628.82</v>
      </c>
      <c r="N29" s="261">
        <f t="shared" si="4"/>
        <v>4744</v>
      </c>
      <c r="O29" s="261">
        <v>4494</v>
      </c>
    </row>
    <row r="30" spans="2:16" ht="141" customHeight="1" thickBot="1">
      <c r="B30" s="472" t="s">
        <v>767</v>
      </c>
      <c r="C30" s="473" t="s">
        <v>766</v>
      </c>
      <c r="D30" s="474" t="s">
        <v>4</v>
      </c>
      <c r="E30" s="475">
        <v>4</v>
      </c>
      <c r="F30" s="476">
        <v>2.88</v>
      </c>
      <c r="G30" s="477">
        <v>0.14399999999999999</v>
      </c>
      <c r="H30" s="478">
        <f t="shared" si="0"/>
        <v>5207.5</v>
      </c>
      <c r="I30" s="479">
        <f t="shared" si="1"/>
        <v>5009.2</v>
      </c>
      <c r="J30" s="479">
        <f t="shared" si="2"/>
        <v>4612.6000000000004</v>
      </c>
      <c r="K30" s="480">
        <f t="shared" si="5"/>
        <v>4334.9799999999996</v>
      </c>
      <c r="L30" s="481">
        <f t="shared" si="3"/>
        <v>4084.98</v>
      </c>
      <c r="M30" s="460"/>
      <c r="N30" s="261">
        <f>O30+250</f>
        <v>4216</v>
      </c>
      <c r="O30" s="261">
        <v>3966</v>
      </c>
      <c r="P30" s="461"/>
    </row>
    <row r="31" spans="2:16" ht="234" customHeight="1" thickBot="1">
      <c r="B31" s="472" t="s">
        <v>769</v>
      </c>
      <c r="C31" s="482" t="s">
        <v>768</v>
      </c>
      <c r="D31" s="474" t="s">
        <v>4</v>
      </c>
      <c r="E31" s="475">
        <v>4</v>
      </c>
      <c r="F31" s="476">
        <v>2.88</v>
      </c>
      <c r="G31" s="477">
        <v>0.14399999999999999</v>
      </c>
      <c r="H31" s="478">
        <f t="shared" si="0"/>
        <v>4215</v>
      </c>
      <c r="I31" s="479">
        <f t="shared" si="1"/>
        <v>4056.3999999999996</v>
      </c>
      <c r="J31" s="479">
        <f t="shared" si="2"/>
        <v>3739.2000000000003</v>
      </c>
      <c r="K31" s="480">
        <f t="shared" si="5"/>
        <v>3517.1600000000003</v>
      </c>
      <c r="L31" s="481">
        <f>O31*1.03</f>
        <v>3267.1600000000003</v>
      </c>
      <c r="N31" s="261">
        <f>O31+250</f>
        <v>3422</v>
      </c>
      <c r="O31" s="261">
        <v>3172</v>
      </c>
    </row>
  </sheetData>
  <customSheetViews>
    <customSheetView guid="{FBB3E572-A647-4B8C-96C7-F43FE4F7CAA8}" scale="90" showPageBreaks="1" printArea="1" hiddenColumns="1" view="pageBreakPreview">
      <pane ySplit="5" topLeftCell="A12" activePane="bottomLeft" state="frozen"/>
      <selection pane="bottomLeft" activeCell="B2" sqref="B2:K2"/>
      <pageMargins left="0.98425196850393704" right="0.23622047244094491" top="0.35433070866141736" bottom="0.39370078740157483" header="0.31496062992125984" footer="0.31496062992125984"/>
      <printOptions gridLines="1"/>
      <pageSetup paperSize="9" scale="60" fitToHeight="2" orientation="portrait" verticalDpi="0" r:id="rId1"/>
    </customSheetView>
    <customSheetView guid="{900EF7B2-0D63-4DE2-9CFC-2D2B3788802C}" scale="90" showPageBreaks="1" printArea="1" hiddenColumns="1" view="pageBreakPreview">
      <pane ySplit="5" topLeftCell="A6" activePane="bottomLeft" state="frozen"/>
      <selection pane="bottomLeft" activeCell="H8" sqref="H8"/>
      <pageMargins left="0.98425196850393704" right="0.23622047244094491" top="0.35433070866141736" bottom="0.39370078740157483" header="0.31496062992125984" footer="0.31496062992125984"/>
      <printOptions gridLines="1"/>
      <pageSetup paperSize="9" scale="60" fitToHeight="2" orientation="portrait" verticalDpi="0" r:id="rId2"/>
    </customSheetView>
    <customSheetView guid="{CC6D6007-EFDE-464F-BD7C-A67043AC5D5C}" scale="90" showPageBreaks="1" printArea="1" hiddenColumns="1" view="pageBreakPreview">
      <pane ySplit="5" topLeftCell="A6" activePane="bottomLeft" state="frozen"/>
      <selection pane="bottomLeft" activeCell="B3" sqref="B3:B5"/>
      <pageMargins left="0.98" right="0.23622047244094491" top="0.36" bottom="0.38" header="0.31496062992125984" footer="0.31496062992125984"/>
      <printOptions gridLines="1"/>
      <pageSetup paperSize="9" scale="42" fitToHeight="2" orientation="portrait" verticalDpi="0" r:id="rId3"/>
    </customSheetView>
    <customSheetView guid="{C0FE86CC-5BB4-4265-957F-F51B909B3E81}" scale="90" showPageBreaks="1" printArea="1" hiddenColumns="1" view="pageBreakPreview">
      <pane ySplit="5" topLeftCell="A6" activePane="bottomLeft" state="frozen"/>
      <selection pane="bottomLeft" activeCell="B3" sqref="B3:B5"/>
      <pageMargins left="0.98" right="0.23622047244094491" top="0.36" bottom="0.38" header="0.31496062992125984" footer="0.31496062992125984"/>
      <printOptions gridLines="1"/>
      <pageSetup paperSize="9" scale="42" fitToHeight="2" orientation="portrait" verticalDpi="0" r:id="rId4"/>
    </customSheetView>
  </customSheetViews>
  <mergeCells count="33">
    <mergeCell ref="C24:C25"/>
    <mergeCell ref="C20:C21"/>
    <mergeCell ref="C16:C17"/>
    <mergeCell ref="C18:C19"/>
    <mergeCell ref="C12:C13"/>
    <mergeCell ref="H3:L3"/>
    <mergeCell ref="B3:B5"/>
    <mergeCell ref="C3:C5"/>
    <mergeCell ref="D3:D5"/>
    <mergeCell ref="C22:C23"/>
    <mergeCell ref="C6:C7"/>
    <mergeCell ref="B10:B11"/>
    <mergeCell ref="B12:B13"/>
    <mergeCell ref="C10:C11"/>
    <mergeCell ref="B6:B7"/>
    <mergeCell ref="B8:B9"/>
    <mergeCell ref="C8:C9"/>
    <mergeCell ref="N3:N5"/>
    <mergeCell ref="O3:O5"/>
    <mergeCell ref="B27:B28"/>
    <mergeCell ref="C27:C28"/>
    <mergeCell ref="H4:K4"/>
    <mergeCell ref="E4:E5"/>
    <mergeCell ref="F4:F5"/>
    <mergeCell ref="G4:G5"/>
    <mergeCell ref="B14:B15"/>
    <mergeCell ref="B16:B17"/>
    <mergeCell ref="B20:B21"/>
    <mergeCell ref="B18:B19"/>
    <mergeCell ref="B22:B23"/>
    <mergeCell ref="B24:B25"/>
    <mergeCell ref="E3:G3"/>
    <mergeCell ref="C14:C15"/>
  </mergeCells>
  <hyperlinks>
    <hyperlink ref="K2" location="'ЦЕНТР-ТИМ'!A1" display="ЦЕНТР-ТИМ"/>
  </hyperlinks>
  <printOptions gridLines="1"/>
  <pageMargins left="0.98425196850393704" right="0.23622047244094491" top="0.35433070866141736" bottom="0.39370078740157483" header="0.31496062992125984" footer="0.31496062992125984"/>
  <pageSetup paperSize="9" scale="60" fitToHeight="2" orientation="portrait" verticalDpi="0" r:id="rId5"/>
  <legacyDrawing r:id="rId6"/>
  <legacyDrawingHF r:id="rId7"/>
</worksheet>
</file>

<file path=xl/worksheets/sheet30.xml><?xml version="1.0" encoding="utf-8"?>
<worksheet xmlns="http://schemas.openxmlformats.org/spreadsheetml/2006/main" xmlns:r="http://schemas.openxmlformats.org/officeDocument/2006/relationships">
  <dimension ref="A1:G38"/>
  <sheetViews>
    <sheetView workbookViewId="0"/>
  </sheetViews>
  <sheetFormatPr defaultRowHeight="15"/>
  <cols>
    <col min="1" max="1" width="48.42578125" customWidth="1"/>
    <col min="2" max="2" width="13.85546875" customWidth="1"/>
    <col min="3" max="3" width="21.42578125" customWidth="1"/>
    <col min="4" max="4" width="16" customWidth="1"/>
    <col min="5" max="5" width="18.85546875" customWidth="1"/>
    <col min="6" max="6" width="19.42578125" customWidth="1"/>
  </cols>
  <sheetData>
    <row r="1" spans="1:7" ht="27" thickBot="1">
      <c r="A1" s="983" t="s">
        <v>1285</v>
      </c>
      <c r="B1" s="952"/>
      <c r="C1" s="952"/>
      <c r="D1" s="952"/>
      <c r="E1" s="952"/>
      <c r="F1" s="952"/>
    </row>
    <row r="2" spans="1:7" ht="39" thickBot="1">
      <c r="A2" s="1118" t="s">
        <v>781</v>
      </c>
      <c r="B2" s="1119" t="s">
        <v>1286</v>
      </c>
      <c r="C2" s="1120"/>
      <c r="D2" s="1066" t="s">
        <v>1382</v>
      </c>
      <c r="E2" s="1067" t="s">
        <v>1288</v>
      </c>
      <c r="F2" s="1121" t="s">
        <v>1289</v>
      </c>
      <c r="G2" s="1011"/>
    </row>
    <row r="3" spans="1:7" ht="17.25" thickBot="1">
      <c r="A3" s="1013"/>
      <c r="B3" s="1013"/>
      <c r="C3" s="1045"/>
      <c r="D3" s="1014"/>
      <c r="E3" s="1014"/>
      <c r="F3" s="1014"/>
      <c r="G3" s="1032"/>
    </row>
    <row r="4" spans="1:7" ht="17.25" thickBot="1">
      <c r="A4" s="1071" t="s">
        <v>1383</v>
      </c>
      <c r="B4" s="1072" t="s">
        <v>21</v>
      </c>
      <c r="C4" s="1020"/>
      <c r="D4" s="1021"/>
      <c r="E4" s="1022"/>
      <c r="F4" s="1023"/>
      <c r="G4" s="1024"/>
    </row>
    <row r="5" spans="1:7" ht="16.5">
      <c r="A5" s="1025" t="s">
        <v>1384</v>
      </c>
      <c r="B5" s="1122">
        <v>10</v>
      </c>
      <c r="C5" s="1027"/>
      <c r="D5" s="1029">
        <v>327.87</v>
      </c>
      <c r="E5" s="1029">
        <v>362.18</v>
      </c>
      <c r="F5" s="1102">
        <v>381.24</v>
      </c>
      <c r="G5" s="1030"/>
    </row>
    <row r="6" spans="1:7" ht="16.5">
      <c r="A6" s="1025" t="s">
        <v>1385</v>
      </c>
      <c r="B6" s="1122">
        <v>10</v>
      </c>
      <c r="C6" s="1027"/>
      <c r="D6" s="1029">
        <v>442.33</v>
      </c>
      <c r="E6" s="1029">
        <v>488.62</v>
      </c>
      <c r="F6" s="1102">
        <v>514.34</v>
      </c>
      <c r="G6" s="1030"/>
    </row>
    <row r="7" spans="1:7" ht="16.5">
      <c r="A7" s="1025" t="s">
        <v>1386</v>
      </c>
      <c r="B7" s="1122">
        <v>10</v>
      </c>
      <c r="C7" s="1027"/>
      <c r="D7" s="1029">
        <v>466.91</v>
      </c>
      <c r="E7" s="1029">
        <v>515.78</v>
      </c>
      <c r="F7" s="1102">
        <v>542.91999999999996</v>
      </c>
      <c r="G7" s="1030"/>
    </row>
    <row r="8" spans="1:7" ht="16.5">
      <c r="A8" s="1025" t="s">
        <v>1387</v>
      </c>
      <c r="B8" s="1122">
        <v>10</v>
      </c>
      <c r="C8" s="1027"/>
      <c r="D8" s="1029">
        <v>491.48</v>
      </c>
      <c r="E8" s="1029">
        <v>542.91999999999996</v>
      </c>
      <c r="F8" s="1102">
        <v>571.49</v>
      </c>
      <c r="G8" s="1030"/>
    </row>
    <row r="9" spans="1:7" ht="16.5">
      <c r="A9" s="1025" t="s">
        <v>1388</v>
      </c>
      <c r="B9" s="1122">
        <v>10</v>
      </c>
      <c r="C9" s="1027"/>
      <c r="D9" s="1029">
        <v>491.48</v>
      </c>
      <c r="E9" s="1029">
        <v>542.91999999999996</v>
      </c>
      <c r="F9" s="1102">
        <v>571.49</v>
      </c>
      <c r="G9" s="1030"/>
    </row>
    <row r="10" spans="1:7" ht="16.5">
      <c r="A10" s="1025" t="s">
        <v>1389</v>
      </c>
      <c r="B10" s="1122">
        <v>10</v>
      </c>
      <c r="C10" s="1027"/>
      <c r="D10" s="1029">
        <v>465.62</v>
      </c>
      <c r="E10" s="1029">
        <v>514.35</v>
      </c>
      <c r="F10" s="1102">
        <v>541.41999999999996</v>
      </c>
      <c r="G10" s="1030"/>
    </row>
    <row r="11" spans="1:7" ht="17.25" thickBot="1">
      <c r="A11" s="1032"/>
      <c r="B11" s="1032"/>
      <c r="C11" s="1033"/>
      <c r="D11" s="1033"/>
      <c r="E11" s="1033"/>
      <c r="F11" s="1033"/>
      <c r="G11" s="1032"/>
    </row>
    <row r="12" spans="1:7" ht="17.25" thickBot="1">
      <c r="A12" s="1071" t="s">
        <v>1390</v>
      </c>
      <c r="B12" s="1072" t="s">
        <v>21</v>
      </c>
      <c r="C12" s="1020"/>
      <c r="D12" s="1021"/>
      <c r="E12" s="1022"/>
      <c r="F12" s="1023"/>
      <c r="G12" s="1024"/>
    </row>
    <row r="13" spans="1:7" ht="16.5">
      <c r="A13" s="1025" t="s">
        <v>1391</v>
      </c>
      <c r="B13" s="1122">
        <v>10</v>
      </c>
      <c r="C13" s="1027"/>
      <c r="D13" s="1029">
        <v>385.25</v>
      </c>
      <c r="E13" s="1029">
        <v>430.57</v>
      </c>
      <c r="F13" s="1102">
        <v>453.24</v>
      </c>
      <c r="G13" s="1030"/>
    </row>
    <row r="14" spans="1:7" ht="16.5">
      <c r="A14" s="1025" t="s">
        <v>1392</v>
      </c>
      <c r="B14" s="1122">
        <v>12</v>
      </c>
      <c r="C14" s="1027"/>
      <c r="D14" s="1029">
        <v>405.54</v>
      </c>
      <c r="E14" s="1029">
        <v>453.25</v>
      </c>
      <c r="F14" s="1102">
        <v>477.1</v>
      </c>
      <c r="G14" s="1030"/>
    </row>
    <row r="15" spans="1:7" ht="16.5">
      <c r="A15" s="1025" t="s">
        <v>1393</v>
      </c>
      <c r="B15" s="1122">
        <v>10</v>
      </c>
      <c r="C15" s="1027"/>
      <c r="D15" s="1029">
        <v>405.54</v>
      </c>
      <c r="E15" s="1029">
        <v>453.25</v>
      </c>
      <c r="F15" s="1102">
        <v>477.1</v>
      </c>
      <c r="G15" s="1030"/>
    </row>
    <row r="16" spans="1:7" ht="16.5">
      <c r="A16" s="1025" t="s">
        <v>1394</v>
      </c>
      <c r="B16" s="1122">
        <v>9</v>
      </c>
      <c r="C16" s="1027"/>
      <c r="D16" s="1029">
        <v>405.54</v>
      </c>
      <c r="E16" s="1029">
        <v>453.25</v>
      </c>
      <c r="F16" s="1102">
        <v>477.1</v>
      </c>
      <c r="G16" s="1030"/>
    </row>
    <row r="17" spans="1:7" ht="16.5">
      <c r="A17" s="1025" t="s">
        <v>1395</v>
      </c>
      <c r="B17" s="1122">
        <v>7</v>
      </c>
      <c r="C17" s="1027"/>
      <c r="D17" s="1029">
        <v>405.54</v>
      </c>
      <c r="E17" s="1029">
        <v>453.25</v>
      </c>
      <c r="F17" s="1102">
        <v>477.1</v>
      </c>
      <c r="G17" s="1030"/>
    </row>
    <row r="18" spans="1:7" ht="16.5">
      <c r="A18" s="1025" t="s">
        <v>1396</v>
      </c>
      <c r="B18" s="1122">
        <v>8</v>
      </c>
      <c r="C18" s="1027"/>
      <c r="D18" s="1029">
        <v>405.54</v>
      </c>
      <c r="E18" s="1029">
        <v>453.25</v>
      </c>
      <c r="F18" s="1102">
        <v>477.1</v>
      </c>
      <c r="G18" s="1030"/>
    </row>
    <row r="19" spans="1:7" ht="17.25" thickBot="1">
      <c r="A19" s="1032"/>
      <c r="B19" s="1032"/>
      <c r="C19" s="1033"/>
      <c r="D19" s="1033"/>
      <c r="E19" s="1033"/>
      <c r="F19" s="1033"/>
      <c r="G19" s="1032"/>
    </row>
    <row r="20" spans="1:7" ht="17.25" thickBot="1">
      <c r="A20" s="1071" t="s">
        <v>1397</v>
      </c>
      <c r="B20" s="1072" t="s">
        <v>21</v>
      </c>
      <c r="C20" s="1020"/>
      <c r="D20" s="1021"/>
      <c r="E20" s="1022"/>
      <c r="F20" s="1023"/>
      <c r="G20" s="1024"/>
    </row>
    <row r="21" spans="1:7" ht="16.5">
      <c r="A21" s="1042" t="s">
        <v>1398</v>
      </c>
      <c r="B21" s="1123">
        <v>30</v>
      </c>
      <c r="C21" s="1045"/>
      <c r="D21" s="1029">
        <v>218.38</v>
      </c>
      <c r="E21" s="1029">
        <v>244.07</v>
      </c>
      <c r="F21" s="1102">
        <v>256.91000000000003</v>
      </c>
      <c r="G21" s="1030"/>
    </row>
    <row r="22" spans="1:7" ht="16.5">
      <c r="A22" s="1044" t="s">
        <v>1399</v>
      </c>
      <c r="B22" s="1123">
        <v>30</v>
      </c>
      <c r="C22" s="1045"/>
      <c r="D22" s="1029">
        <v>297.77999999999997</v>
      </c>
      <c r="E22" s="1029">
        <v>332.81</v>
      </c>
      <c r="F22" s="1102">
        <v>350.32</v>
      </c>
      <c r="G22" s="1030"/>
    </row>
    <row r="23" spans="1:7" ht="16.5">
      <c r="A23" s="1044" t="s">
        <v>1400</v>
      </c>
      <c r="B23" s="1123">
        <v>80</v>
      </c>
      <c r="C23" s="1045"/>
      <c r="D23" s="1029">
        <v>62.4</v>
      </c>
      <c r="E23" s="1029">
        <v>69.739999999999995</v>
      </c>
      <c r="F23" s="1102">
        <v>73.41</v>
      </c>
      <c r="G23" s="1030"/>
    </row>
    <row r="24" spans="1:7" ht="16.5">
      <c r="A24" s="1044" t="s">
        <v>1401</v>
      </c>
      <c r="B24" s="1123">
        <v>50</v>
      </c>
      <c r="C24" s="1045"/>
      <c r="D24" s="1029">
        <v>62.4</v>
      </c>
      <c r="E24" s="1029">
        <v>69.739999999999995</v>
      </c>
      <c r="F24" s="1102">
        <v>73.41</v>
      </c>
      <c r="G24" s="1030"/>
    </row>
    <row r="25" spans="1:7" ht="16.5">
      <c r="A25" s="1044" t="s">
        <v>1402</v>
      </c>
      <c r="B25" s="1123">
        <v>20</v>
      </c>
      <c r="C25" s="1045"/>
      <c r="D25" s="1029">
        <v>249.56</v>
      </c>
      <c r="E25" s="1029">
        <v>278.92</v>
      </c>
      <c r="F25" s="1102">
        <v>293.60000000000002</v>
      </c>
      <c r="G25" s="1030"/>
    </row>
    <row r="26" spans="1:7" ht="16.5">
      <c r="A26" s="1044" t="s">
        <v>1403</v>
      </c>
      <c r="B26" s="1123">
        <v>20</v>
      </c>
      <c r="C26" s="1045"/>
      <c r="D26" s="1029">
        <v>282.64999999999998</v>
      </c>
      <c r="E26" s="1029">
        <v>315.89999999999998</v>
      </c>
      <c r="F26" s="1102">
        <v>332.53</v>
      </c>
      <c r="G26" s="1030"/>
    </row>
    <row r="27" spans="1:7" ht="16.5">
      <c r="A27" s="1044" t="s">
        <v>1404</v>
      </c>
      <c r="B27" s="1123">
        <v>20</v>
      </c>
      <c r="C27" s="1045"/>
      <c r="D27" s="1029">
        <v>211.75</v>
      </c>
      <c r="E27" s="1029">
        <v>236.66</v>
      </c>
      <c r="F27" s="1102">
        <v>249.12</v>
      </c>
      <c r="G27" s="1030"/>
    </row>
    <row r="28" spans="1:7" ht="16.5">
      <c r="A28" s="1044" t="s">
        <v>1405</v>
      </c>
      <c r="B28" s="1123">
        <v>20</v>
      </c>
      <c r="C28" s="1045"/>
      <c r="D28" s="1029">
        <v>398.08</v>
      </c>
      <c r="E28" s="1029">
        <v>444.91</v>
      </c>
      <c r="F28" s="1102">
        <v>468.32</v>
      </c>
      <c r="G28" s="1030"/>
    </row>
    <row r="29" spans="1:7" ht="16.5">
      <c r="A29" s="1044" t="s">
        <v>1406</v>
      </c>
      <c r="B29" s="1123">
        <v>12</v>
      </c>
      <c r="C29" s="1045"/>
      <c r="D29" s="1029">
        <v>575.69000000000005</v>
      </c>
      <c r="E29" s="1029">
        <v>643.41999999999996</v>
      </c>
      <c r="F29" s="1102">
        <v>677.28</v>
      </c>
      <c r="G29" s="1030"/>
    </row>
    <row r="30" spans="1:7" ht="16.5">
      <c r="A30" s="1044" t="s">
        <v>1407</v>
      </c>
      <c r="B30" s="1123">
        <v>20</v>
      </c>
      <c r="C30" s="1045"/>
      <c r="D30" s="1029">
        <v>222.15</v>
      </c>
      <c r="E30" s="1029">
        <v>248.29</v>
      </c>
      <c r="F30" s="1102">
        <v>261.35000000000002</v>
      </c>
      <c r="G30" s="1030"/>
    </row>
    <row r="31" spans="1:7" ht="16.5">
      <c r="A31" s="1044" t="s">
        <v>1408</v>
      </c>
      <c r="B31" s="1123">
        <v>96</v>
      </c>
      <c r="C31" s="1045"/>
      <c r="D31" s="1029">
        <v>15.6</v>
      </c>
      <c r="E31" s="1029">
        <v>17.440000000000001</v>
      </c>
      <c r="F31" s="1102">
        <v>18.350000000000001</v>
      </c>
      <c r="G31" s="1030"/>
    </row>
    <row r="32" spans="1:7" ht="16.5">
      <c r="A32" s="1044" t="s">
        <v>1409</v>
      </c>
      <c r="B32" s="1123">
        <v>30</v>
      </c>
      <c r="C32" s="1045"/>
      <c r="D32" s="1029">
        <v>96.41</v>
      </c>
      <c r="E32" s="1029">
        <v>107.76</v>
      </c>
      <c r="F32" s="1102">
        <v>113.43</v>
      </c>
      <c r="G32" s="1030"/>
    </row>
    <row r="33" spans="1:7" ht="17.25" thickBot="1">
      <c r="A33" s="1033"/>
      <c r="B33" s="1033"/>
      <c r="C33" s="1033"/>
      <c r="D33" s="1033"/>
      <c r="E33" s="1033"/>
      <c r="F33" s="1033"/>
      <c r="G33" s="1032"/>
    </row>
    <row r="34" spans="1:7" ht="17.25" thickBot="1">
      <c r="A34" s="1071" t="s">
        <v>1410</v>
      </c>
      <c r="B34" s="1072" t="s">
        <v>21</v>
      </c>
      <c r="C34" s="1020"/>
      <c r="D34" s="1021"/>
      <c r="E34" s="1022"/>
      <c r="F34" s="1023"/>
      <c r="G34" s="1024"/>
    </row>
    <row r="35" spans="1:7" ht="16.5">
      <c r="A35" s="1124" t="s">
        <v>1411</v>
      </c>
      <c r="B35" s="1123">
        <v>20</v>
      </c>
      <c r="C35" s="1045"/>
      <c r="D35" s="1029">
        <v>139.33000000000001</v>
      </c>
      <c r="E35" s="1029">
        <v>194.66</v>
      </c>
      <c r="F35" s="1029">
        <v>204.9</v>
      </c>
      <c r="G35" s="1030"/>
    </row>
    <row r="36" spans="1:7" ht="62.25" customHeight="1">
      <c r="A36" s="1125"/>
      <c r="B36" s="1091"/>
      <c r="C36" s="1126"/>
      <c r="D36" s="1126"/>
      <c r="E36" s="1110" t="s">
        <v>1331</v>
      </c>
      <c r="F36" s="1111"/>
      <c r="G36" s="1111"/>
    </row>
    <row r="37" spans="1:7" ht="16.5">
      <c r="A37" s="1127"/>
      <c r="B37" s="1113"/>
      <c r="C37" s="1114"/>
      <c r="D37" s="1114"/>
      <c r="E37" s="1115"/>
      <c r="F37" s="1115"/>
      <c r="G37" s="1115"/>
    </row>
    <row r="38" spans="1:7" ht="16.5">
      <c r="A38" s="1128"/>
      <c r="B38" s="1113"/>
      <c r="C38" s="1114"/>
      <c r="D38" s="1114"/>
      <c r="E38" s="1114"/>
      <c r="F38" s="1114"/>
      <c r="G38" s="1114"/>
    </row>
  </sheetData>
  <customSheetViews>
    <customSheetView guid="{FBB3E572-A647-4B8C-96C7-F43FE4F7CAA8}" state="hidden">
      <pageMargins left="0.7" right="0.7" top="0.75" bottom="0.75" header="0.3" footer="0.3"/>
    </customSheetView>
    <customSheetView guid="{900EF7B2-0D63-4DE2-9CFC-2D2B3788802C}">
      <pageMargins left="0.7" right="0.7" top="0.75" bottom="0.75" header="0.3" footer="0.3"/>
    </customSheetView>
    <customSheetView guid="{CC6D6007-EFDE-464F-BD7C-A67043AC5D5C}" state="hidden">
      <pageMargins left="0.7" right="0.7" top="0.75" bottom="0.75" header="0.3" footer="0.3"/>
    </customSheetView>
    <customSheetView guid="{C0FE86CC-5BB4-4265-957F-F51B909B3E81}">
      <pageMargins left="0.7" right="0.7" top="0.75" bottom="0.75" header="0.3" footer="0.3"/>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G43"/>
  <sheetViews>
    <sheetView workbookViewId="0"/>
  </sheetViews>
  <sheetFormatPr defaultRowHeight="15"/>
  <cols>
    <col min="1" max="1" width="63.28515625" customWidth="1"/>
    <col min="2" max="2" width="14.5703125" customWidth="1"/>
    <col min="4" max="4" width="20.28515625" customWidth="1"/>
    <col min="5" max="5" width="18.85546875" customWidth="1"/>
    <col min="6" max="6" width="21.28515625" customWidth="1"/>
  </cols>
  <sheetData>
    <row r="1" spans="1:7" ht="29.25" thickBot="1">
      <c r="A1" s="1138" t="s">
        <v>1285</v>
      </c>
      <c r="B1" s="952"/>
      <c r="C1" s="952"/>
      <c r="D1" s="952"/>
      <c r="E1" s="952"/>
      <c r="F1" s="952"/>
    </row>
    <row r="2" spans="1:7" ht="27.75" thickBot="1">
      <c r="A2" s="1129" t="s">
        <v>781</v>
      </c>
      <c r="B2" s="1116" t="s">
        <v>1286</v>
      </c>
      <c r="C2" s="1130"/>
      <c r="D2" s="1099" t="s">
        <v>1412</v>
      </c>
      <c r="E2" s="1100" t="s">
        <v>1288</v>
      </c>
      <c r="F2" s="1101" t="s">
        <v>1289</v>
      </c>
      <c r="G2" s="1011"/>
    </row>
    <row r="3" spans="1:7" ht="17.25" thickBot="1">
      <c r="A3" s="1013"/>
      <c r="B3" s="1013"/>
      <c r="C3" s="1045"/>
      <c r="D3" s="1014"/>
      <c r="E3" s="1014"/>
      <c r="F3" s="1014"/>
      <c r="G3" s="1032"/>
    </row>
    <row r="4" spans="1:7" ht="17.25" thickBot="1">
      <c r="A4" s="1071" t="s">
        <v>1413</v>
      </c>
      <c r="B4" s="1072" t="s">
        <v>21</v>
      </c>
      <c r="C4" s="1020"/>
      <c r="D4" s="1021"/>
      <c r="E4" s="1022"/>
      <c r="F4" s="1023"/>
      <c r="G4" s="1024"/>
    </row>
    <row r="5" spans="1:7" ht="16.5">
      <c r="A5" s="1025" t="s">
        <v>1414</v>
      </c>
      <c r="B5" s="1122">
        <v>10</v>
      </c>
      <c r="C5" s="1045"/>
      <c r="D5" s="1029">
        <v>314.51</v>
      </c>
      <c r="E5" s="1029">
        <v>404.37</v>
      </c>
      <c r="F5" s="1102">
        <v>449.3</v>
      </c>
      <c r="G5" s="1030"/>
    </row>
    <row r="6" spans="1:7" ht="16.5">
      <c r="A6" s="1025" t="s">
        <v>1415</v>
      </c>
      <c r="B6" s="1122">
        <v>10</v>
      </c>
      <c r="C6" s="1045"/>
      <c r="D6" s="1029">
        <v>346</v>
      </c>
      <c r="E6" s="1029">
        <v>444.85</v>
      </c>
      <c r="F6" s="1102">
        <v>494.28</v>
      </c>
      <c r="G6" s="1030"/>
    </row>
    <row r="7" spans="1:7" ht="16.5">
      <c r="A7" s="1025" t="s">
        <v>1416</v>
      </c>
      <c r="B7" s="1122">
        <v>5</v>
      </c>
      <c r="C7" s="1045"/>
      <c r="D7" s="1029" t="s">
        <v>1417</v>
      </c>
      <c r="E7" s="1029" t="s">
        <v>1418</v>
      </c>
      <c r="F7" s="1102" t="s">
        <v>1419</v>
      </c>
      <c r="G7" s="1030"/>
    </row>
    <row r="8" spans="1:7" ht="16.5">
      <c r="A8" s="1025" t="s">
        <v>1420</v>
      </c>
      <c r="B8" s="1122">
        <v>5</v>
      </c>
      <c r="C8" s="1045"/>
      <c r="D8" s="1029" t="s">
        <v>1421</v>
      </c>
      <c r="E8" s="1029" t="s">
        <v>1422</v>
      </c>
      <c r="F8" s="1102" t="s">
        <v>1423</v>
      </c>
      <c r="G8" s="1030"/>
    </row>
    <row r="9" spans="1:7" ht="16.5">
      <c r="A9" s="1025" t="s">
        <v>1424</v>
      </c>
      <c r="B9" s="1122">
        <v>25</v>
      </c>
      <c r="C9" s="1045"/>
      <c r="D9" s="1029">
        <v>109.61</v>
      </c>
      <c r="E9" s="1029">
        <v>140.93</v>
      </c>
      <c r="F9" s="1102">
        <v>156.58000000000001</v>
      </c>
      <c r="G9" s="1030"/>
    </row>
    <row r="10" spans="1:7" ht="16.5">
      <c r="A10" s="1025" t="s">
        <v>1425</v>
      </c>
      <c r="B10" s="1122">
        <v>25</v>
      </c>
      <c r="C10" s="1045"/>
      <c r="D10" s="1029">
        <v>115.05</v>
      </c>
      <c r="E10" s="1029">
        <v>147.91999999999999</v>
      </c>
      <c r="F10" s="1102">
        <v>164.36</v>
      </c>
      <c r="G10" s="1030"/>
    </row>
    <row r="11" spans="1:7" ht="16.5">
      <c r="A11" s="1025" t="s">
        <v>1426</v>
      </c>
      <c r="B11" s="1122">
        <v>63</v>
      </c>
      <c r="C11" s="1045"/>
      <c r="D11" s="1029">
        <v>65.81</v>
      </c>
      <c r="E11" s="1029">
        <v>84.62</v>
      </c>
      <c r="F11" s="1102">
        <v>94.02</v>
      </c>
      <c r="G11" s="1030"/>
    </row>
    <row r="12" spans="1:7" ht="16.5">
      <c r="A12" s="1025" t="s">
        <v>1427</v>
      </c>
      <c r="B12" s="1122">
        <v>63</v>
      </c>
      <c r="C12" s="1045"/>
      <c r="D12" s="1029">
        <v>69.19</v>
      </c>
      <c r="E12" s="1029">
        <v>88.96</v>
      </c>
      <c r="F12" s="1102">
        <v>98.85</v>
      </c>
      <c r="G12" s="1030"/>
    </row>
    <row r="13" spans="1:7" ht="16.5">
      <c r="A13" s="1025" t="s">
        <v>1428</v>
      </c>
      <c r="B13" s="1122">
        <v>15</v>
      </c>
      <c r="C13" s="1045"/>
      <c r="D13" s="1029">
        <v>170.89</v>
      </c>
      <c r="E13" s="1029">
        <v>219.72</v>
      </c>
      <c r="F13" s="1102">
        <v>244.13</v>
      </c>
      <c r="G13" s="1030"/>
    </row>
    <row r="14" spans="1:7" ht="16.5">
      <c r="A14" s="1025" t="s">
        <v>1429</v>
      </c>
      <c r="B14" s="1122">
        <v>15</v>
      </c>
      <c r="C14" s="1045"/>
      <c r="D14" s="1029">
        <v>179.49</v>
      </c>
      <c r="E14" s="1029">
        <v>230.77</v>
      </c>
      <c r="F14" s="1102">
        <v>256.42</v>
      </c>
      <c r="G14" s="1030"/>
    </row>
    <row r="15" spans="1:7" ht="16.5">
      <c r="A15" s="1025" t="s">
        <v>1430</v>
      </c>
      <c r="B15" s="1122">
        <v>9</v>
      </c>
      <c r="C15" s="1045"/>
      <c r="D15" s="1029">
        <v>585.92999999999995</v>
      </c>
      <c r="E15" s="1029">
        <v>753.33</v>
      </c>
      <c r="F15" s="1102">
        <v>837.04</v>
      </c>
      <c r="G15" s="1030"/>
    </row>
    <row r="16" spans="1:7" ht="16.5">
      <c r="A16" s="1025" t="s">
        <v>1431</v>
      </c>
      <c r="B16" s="1122">
        <v>9</v>
      </c>
      <c r="C16" s="1045"/>
      <c r="D16" s="1029">
        <v>615.19000000000005</v>
      </c>
      <c r="E16" s="1029">
        <v>790.96</v>
      </c>
      <c r="F16" s="1102">
        <v>878.85</v>
      </c>
      <c r="G16" s="1030"/>
    </row>
    <row r="17" spans="1:7" ht="16.5">
      <c r="A17" s="1025" t="s">
        <v>1432</v>
      </c>
      <c r="B17" s="1122">
        <v>60</v>
      </c>
      <c r="C17" s="1045"/>
      <c r="D17" s="1029">
        <v>52.63</v>
      </c>
      <c r="E17" s="1029">
        <v>67.67</v>
      </c>
      <c r="F17" s="1102">
        <v>75.19</v>
      </c>
      <c r="G17" s="1030"/>
    </row>
    <row r="18" spans="1:7" ht="16.5">
      <c r="A18" s="1025" t="s">
        <v>1433</v>
      </c>
      <c r="B18" s="1122">
        <v>60</v>
      </c>
      <c r="C18" s="1045"/>
      <c r="D18" s="1029">
        <v>55.26</v>
      </c>
      <c r="E18" s="1029">
        <v>71.05</v>
      </c>
      <c r="F18" s="1102">
        <v>78.94</v>
      </c>
      <c r="G18" s="1030"/>
    </row>
    <row r="19" spans="1:7" ht="16.5">
      <c r="A19" s="1025" t="s">
        <v>1434</v>
      </c>
      <c r="B19" s="1122">
        <v>72</v>
      </c>
      <c r="C19" s="1045"/>
      <c r="D19" s="1029">
        <v>52.63</v>
      </c>
      <c r="E19" s="1029">
        <v>67.599999999999994</v>
      </c>
      <c r="F19" s="1102">
        <v>75.19</v>
      </c>
      <c r="G19" s="1030"/>
    </row>
    <row r="20" spans="1:7" ht="16.5">
      <c r="A20" s="1025" t="s">
        <v>1435</v>
      </c>
      <c r="B20" s="1122">
        <v>72</v>
      </c>
      <c r="C20" s="1045"/>
      <c r="D20" s="1029">
        <v>55.26</v>
      </c>
      <c r="E20" s="1029">
        <v>71.05</v>
      </c>
      <c r="F20" s="1102">
        <v>78.94</v>
      </c>
      <c r="G20" s="1030"/>
    </row>
    <row r="21" spans="1:7" ht="16.5">
      <c r="A21" s="1025" t="s">
        <v>1436</v>
      </c>
      <c r="B21" s="1122">
        <v>60</v>
      </c>
      <c r="C21" s="1045"/>
      <c r="D21" s="1029">
        <v>127.69</v>
      </c>
      <c r="E21" s="1029">
        <v>164.17</v>
      </c>
      <c r="F21" s="1102">
        <v>182.42</v>
      </c>
      <c r="G21" s="1030"/>
    </row>
    <row r="22" spans="1:7" ht="16.5">
      <c r="A22" s="1025" t="s">
        <v>1437</v>
      </c>
      <c r="B22" s="1122">
        <v>60</v>
      </c>
      <c r="C22" s="1045"/>
      <c r="D22" s="1029">
        <v>134.06</v>
      </c>
      <c r="E22" s="1029">
        <v>172.36</v>
      </c>
      <c r="F22" s="1102">
        <v>191.51</v>
      </c>
      <c r="G22" s="1030"/>
    </row>
    <row r="23" spans="1:7" ht="16.5">
      <c r="A23" s="1025" t="s">
        <v>1438</v>
      </c>
      <c r="B23" s="1122">
        <v>100</v>
      </c>
      <c r="C23" s="1045"/>
      <c r="D23" s="1029">
        <v>35.81</v>
      </c>
      <c r="E23" s="1029">
        <v>46.04</v>
      </c>
      <c r="F23" s="1102">
        <v>51.15</v>
      </c>
      <c r="G23" s="1030"/>
    </row>
    <row r="24" spans="1:7" ht="16.5">
      <c r="A24" s="1025" t="s">
        <v>1439</v>
      </c>
      <c r="B24" s="1122">
        <v>100</v>
      </c>
      <c r="C24" s="1045"/>
      <c r="D24" s="1029">
        <v>37.619999999999997</v>
      </c>
      <c r="E24" s="1029">
        <v>48.36</v>
      </c>
      <c r="F24" s="1102">
        <v>53.74</v>
      </c>
      <c r="G24" s="1030"/>
    </row>
    <row r="25" spans="1:7" ht="16.5">
      <c r="A25" s="1025" t="s">
        <v>1440</v>
      </c>
      <c r="B25" s="1122">
        <v>16</v>
      </c>
      <c r="C25" s="1045"/>
      <c r="D25" s="1029">
        <v>198.28</v>
      </c>
      <c r="E25" s="1029">
        <v>254.94</v>
      </c>
      <c r="F25" s="1102">
        <v>283.26</v>
      </c>
      <c r="G25" s="1030"/>
    </row>
    <row r="26" spans="1:7" ht="16.5">
      <c r="A26" s="1025" t="s">
        <v>1441</v>
      </c>
      <c r="B26" s="1122">
        <v>16</v>
      </c>
      <c r="C26" s="1045"/>
      <c r="D26" s="1029">
        <v>208.22</v>
      </c>
      <c r="E26" s="1029">
        <v>267.70999999999998</v>
      </c>
      <c r="F26" s="1102">
        <v>297.45</v>
      </c>
      <c r="G26" s="1030"/>
    </row>
    <row r="27" spans="1:7" ht="16.5">
      <c r="A27" s="1025" t="s">
        <v>1442</v>
      </c>
      <c r="B27" s="1122">
        <v>26</v>
      </c>
      <c r="C27" s="1045"/>
      <c r="D27" s="1029">
        <v>123.24</v>
      </c>
      <c r="E27" s="1029">
        <v>158.44999999999999</v>
      </c>
      <c r="F27" s="1102">
        <v>176.06</v>
      </c>
      <c r="G27" s="1030"/>
    </row>
    <row r="28" spans="1:7" ht="16.5">
      <c r="A28" s="1025" t="s">
        <v>1443</v>
      </c>
      <c r="B28" s="1131">
        <v>26</v>
      </c>
      <c r="C28" s="1045"/>
      <c r="D28" s="1029">
        <v>129.38999999999999</v>
      </c>
      <c r="E28" s="1029">
        <v>166.36</v>
      </c>
      <c r="F28" s="1102">
        <v>184.85</v>
      </c>
      <c r="G28" s="1030"/>
    </row>
    <row r="29" spans="1:7" ht="16.5">
      <c r="A29" s="1025" t="s">
        <v>1444</v>
      </c>
      <c r="B29" s="1131">
        <v>20</v>
      </c>
      <c r="C29" s="1045"/>
      <c r="D29" s="1029">
        <v>123.24</v>
      </c>
      <c r="E29" s="1029">
        <v>158.44999999999999</v>
      </c>
      <c r="F29" s="1102">
        <v>176.06</v>
      </c>
      <c r="G29" s="1030"/>
    </row>
    <row r="30" spans="1:7" ht="16.5">
      <c r="A30" s="1025" t="s">
        <v>1445</v>
      </c>
      <c r="B30" s="1131">
        <v>20</v>
      </c>
      <c r="C30" s="1045"/>
      <c r="D30" s="1029">
        <v>129.38999999999999</v>
      </c>
      <c r="E30" s="1029">
        <v>166.36</v>
      </c>
      <c r="F30" s="1102">
        <v>184.85</v>
      </c>
      <c r="G30" s="1030"/>
    </row>
    <row r="31" spans="1:7" ht="16.5">
      <c r="A31" s="1025" t="s">
        <v>1446</v>
      </c>
      <c r="B31" s="1131">
        <v>100</v>
      </c>
      <c r="C31" s="1045"/>
      <c r="D31" s="1029">
        <v>49.46</v>
      </c>
      <c r="E31" s="1029">
        <v>63.59</v>
      </c>
      <c r="F31" s="1102">
        <v>70.66</v>
      </c>
      <c r="G31" s="1030"/>
    </row>
    <row r="32" spans="1:7" ht="16.5">
      <c r="A32" s="1025" t="s">
        <v>1447</v>
      </c>
      <c r="B32" s="1131">
        <v>100</v>
      </c>
      <c r="C32" s="1045"/>
      <c r="D32" s="1029">
        <v>51.95</v>
      </c>
      <c r="E32" s="1029">
        <v>66.790000000000006</v>
      </c>
      <c r="F32" s="1102">
        <v>74.209999999999994</v>
      </c>
      <c r="G32" s="1030"/>
    </row>
    <row r="33" spans="1:7" ht="16.5">
      <c r="A33" s="1044" t="s">
        <v>1448</v>
      </c>
      <c r="B33" s="1132">
        <v>23</v>
      </c>
      <c r="C33" s="1045"/>
      <c r="D33" s="1029">
        <v>116.98</v>
      </c>
      <c r="E33" s="1029">
        <v>150.4</v>
      </c>
      <c r="F33" s="1102">
        <v>167.11</v>
      </c>
      <c r="G33" s="1030"/>
    </row>
    <row r="34" spans="1:7" ht="16.5">
      <c r="A34" s="1044" t="s">
        <v>1449</v>
      </c>
      <c r="B34" s="1132">
        <v>23</v>
      </c>
      <c r="C34" s="1045"/>
      <c r="D34" s="1029">
        <v>122.83</v>
      </c>
      <c r="E34" s="1029">
        <v>157.91999999999999</v>
      </c>
      <c r="F34" s="1102">
        <v>175.47</v>
      </c>
      <c r="G34" s="1030"/>
    </row>
    <row r="35" spans="1:7" ht="16.5">
      <c r="A35" s="1044" t="s">
        <v>1450</v>
      </c>
      <c r="B35" s="1132">
        <v>100</v>
      </c>
      <c r="C35" s="1045"/>
      <c r="D35" s="1029">
        <v>41.38</v>
      </c>
      <c r="E35" s="1029">
        <v>53.2</v>
      </c>
      <c r="F35" s="1102">
        <v>59.11</v>
      </c>
      <c r="G35" s="1030"/>
    </row>
    <row r="36" spans="1:7" ht="16.5">
      <c r="A36" s="1035" t="s">
        <v>1451</v>
      </c>
      <c r="B36" s="1132">
        <v>100</v>
      </c>
      <c r="C36" s="1033"/>
      <c r="D36" s="1089">
        <v>43.45</v>
      </c>
      <c r="E36" s="1029">
        <v>55.87</v>
      </c>
      <c r="F36" s="1102">
        <v>62.08</v>
      </c>
      <c r="G36" s="1032"/>
    </row>
    <row r="37" spans="1:7" ht="16.5">
      <c r="A37" s="1044" t="s">
        <v>1452</v>
      </c>
      <c r="B37" s="1132">
        <v>30</v>
      </c>
      <c r="C37" s="1045"/>
      <c r="D37" s="1089">
        <v>114.6</v>
      </c>
      <c r="E37" s="1029">
        <v>147.35</v>
      </c>
      <c r="F37" s="1102">
        <v>163.72</v>
      </c>
      <c r="G37" s="1030"/>
    </row>
    <row r="38" spans="1:7" ht="16.5">
      <c r="A38" s="1044" t="s">
        <v>1453</v>
      </c>
      <c r="B38" s="1132">
        <v>30</v>
      </c>
      <c r="C38" s="1045"/>
      <c r="D38" s="1133">
        <v>114.6</v>
      </c>
      <c r="E38" s="1029">
        <v>147.35</v>
      </c>
      <c r="F38" s="1102">
        <v>163.72</v>
      </c>
      <c r="G38" s="1030"/>
    </row>
    <row r="39" spans="1:7" ht="16.5">
      <c r="A39" s="1044" t="s">
        <v>1454</v>
      </c>
      <c r="B39" s="1132">
        <v>100</v>
      </c>
      <c r="C39" s="1045"/>
      <c r="D39" s="1133">
        <v>101.53</v>
      </c>
      <c r="E39" s="1029">
        <v>130.53</v>
      </c>
      <c r="F39" s="1102">
        <v>145.04</v>
      </c>
      <c r="G39" s="1030"/>
    </row>
    <row r="40" spans="1:7" ht="45" customHeight="1">
      <c r="A40" s="1033"/>
      <c r="B40" s="1032"/>
      <c r="C40" s="1033"/>
      <c r="D40" s="1134" t="s">
        <v>1331</v>
      </c>
      <c r="E40" s="1135"/>
      <c r="F40" s="1135"/>
      <c r="G40" s="1032"/>
    </row>
    <row r="41" spans="1:7" ht="16.5">
      <c r="A41" s="1136"/>
      <c r="B41" s="1113"/>
      <c r="C41" s="1114"/>
      <c r="D41" s="1137"/>
      <c r="E41" s="1137"/>
      <c r="F41" s="1137"/>
      <c r="G41" s="1113"/>
    </row>
    <row r="42" spans="1:7" ht="16.5">
      <c r="A42" s="1113"/>
      <c r="B42" s="1113"/>
      <c r="C42" s="1114"/>
      <c r="D42" s="1137"/>
      <c r="E42" s="1137"/>
      <c r="F42" s="1137"/>
      <c r="G42" s="1113"/>
    </row>
    <row r="43" spans="1:7" ht="16.5">
      <c r="A43" s="1113"/>
      <c r="B43" s="1113"/>
      <c r="C43" s="1114"/>
      <c r="D43" s="1114"/>
      <c r="E43" s="1114"/>
      <c r="F43" s="1114"/>
      <c r="G43" s="1113"/>
    </row>
  </sheetData>
  <customSheetViews>
    <customSheetView guid="{FBB3E572-A647-4B8C-96C7-F43FE4F7CAA8}" state="hidden">
      <pageMargins left="0.7" right="0.7" top="0.75" bottom="0.75" header="0.3" footer="0.3"/>
    </customSheetView>
    <customSheetView guid="{900EF7B2-0D63-4DE2-9CFC-2D2B3788802C}">
      <pageMargins left="0.7" right="0.7" top="0.75" bottom="0.75" header="0.3" footer="0.3"/>
    </customSheetView>
    <customSheetView guid="{CC6D6007-EFDE-464F-BD7C-A67043AC5D5C}" state="hidden">
      <pageMargins left="0.7" right="0.7" top="0.75" bottom="0.75" header="0.3" footer="0.3"/>
    </customSheetView>
    <customSheetView guid="{C0FE86CC-5BB4-4265-957F-F51B909B3E81}">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L48"/>
  <sheetViews>
    <sheetView workbookViewId="0"/>
  </sheetViews>
  <sheetFormatPr defaultRowHeight="15"/>
  <cols>
    <col min="1" max="1" width="21.28515625" customWidth="1"/>
    <col min="2" max="2" width="11.85546875" customWidth="1"/>
    <col min="3" max="3" width="0.140625" customWidth="1"/>
    <col min="6" max="6" width="8.7109375" customWidth="1"/>
    <col min="7" max="7" width="24.85546875" customWidth="1"/>
    <col min="8" max="8" width="19.28515625" customWidth="1"/>
    <col min="9" max="9" width="18.42578125" customWidth="1"/>
  </cols>
  <sheetData>
    <row r="1" spans="1:12" ht="23.25">
      <c r="A1" s="1237" t="s">
        <v>1285</v>
      </c>
      <c r="B1" s="1237"/>
      <c r="C1" s="1237"/>
      <c r="D1" s="1237"/>
      <c r="E1" s="1237"/>
      <c r="F1" s="1237"/>
      <c r="G1" s="1237"/>
      <c r="H1" s="1237"/>
      <c r="I1" s="1237"/>
      <c r="J1" s="1238"/>
      <c r="K1" s="1238"/>
      <c r="L1" s="1238"/>
    </row>
    <row r="2" spans="1:12" ht="84">
      <c r="A2" s="1139" t="s">
        <v>1455</v>
      </c>
      <c r="B2" s="1140"/>
      <c r="C2" s="1141" t="s">
        <v>1456</v>
      </c>
      <c r="D2" s="1142" t="s">
        <v>1041</v>
      </c>
      <c r="E2" s="1142" t="s">
        <v>1040</v>
      </c>
      <c r="F2" s="1143" t="s">
        <v>1457</v>
      </c>
      <c r="G2" s="1144" t="s">
        <v>1458</v>
      </c>
      <c r="H2" s="1145" t="s">
        <v>1459</v>
      </c>
      <c r="I2" s="1146"/>
    </row>
    <row r="3" spans="1:12" ht="15.75">
      <c r="A3" s="1147"/>
      <c r="B3" s="1148"/>
      <c r="C3" s="1149"/>
      <c r="D3" s="1142" t="s">
        <v>1460</v>
      </c>
      <c r="E3" s="1142" t="s">
        <v>1460</v>
      </c>
      <c r="F3" s="1150"/>
      <c r="G3" s="1151"/>
      <c r="H3" s="1152" t="s">
        <v>217</v>
      </c>
      <c r="I3" s="1152" t="s">
        <v>1461</v>
      </c>
    </row>
    <row r="4" spans="1:12" ht="69.75" customHeight="1">
      <c r="A4" s="1153" t="s">
        <v>1462</v>
      </c>
      <c r="B4" s="1154"/>
      <c r="C4" s="1155"/>
      <c r="D4" s="1156">
        <v>0.224</v>
      </c>
      <c r="E4" s="1157">
        <v>3.6</v>
      </c>
      <c r="F4" s="1158">
        <v>22</v>
      </c>
      <c r="G4" s="1159" t="s">
        <v>1463</v>
      </c>
      <c r="H4" s="1160">
        <v>213</v>
      </c>
      <c r="I4" s="1160">
        <v>266</v>
      </c>
    </row>
    <row r="5" spans="1:12" ht="39" customHeight="1">
      <c r="A5" s="1153"/>
      <c r="B5" s="1154"/>
      <c r="C5" s="1155"/>
      <c r="D5" s="1156"/>
      <c r="E5" s="1157"/>
      <c r="F5" s="1158"/>
      <c r="G5" s="1159" t="s">
        <v>1464</v>
      </c>
      <c r="H5" s="1160">
        <v>240</v>
      </c>
      <c r="I5" s="1160">
        <v>300</v>
      </c>
    </row>
    <row r="6" spans="1:12" ht="36" customHeight="1">
      <c r="A6" s="1161"/>
      <c r="B6" s="1162"/>
      <c r="C6" s="1155"/>
      <c r="D6" s="1156"/>
      <c r="E6" s="1157"/>
      <c r="F6" s="1158"/>
      <c r="G6" s="1159" t="s">
        <v>1465</v>
      </c>
      <c r="H6" s="1160">
        <v>160</v>
      </c>
      <c r="I6" s="1160">
        <v>200</v>
      </c>
    </row>
    <row r="7" spans="1:12" ht="63" customHeight="1">
      <c r="A7" s="1163" t="s">
        <v>1466</v>
      </c>
      <c r="B7" s="571"/>
      <c r="C7" s="1155"/>
      <c r="D7" s="1156">
        <v>0.20300000000000001</v>
      </c>
      <c r="E7" s="1157">
        <v>3</v>
      </c>
      <c r="F7" s="1158">
        <v>22</v>
      </c>
      <c r="G7" s="1164" t="s">
        <v>1467</v>
      </c>
      <c r="H7" s="1165">
        <v>155</v>
      </c>
      <c r="I7" s="1160">
        <v>258</v>
      </c>
    </row>
    <row r="8" spans="1:12" ht="16.5">
      <c r="A8" s="571"/>
      <c r="B8" s="571"/>
      <c r="C8" s="1155"/>
      <c r="D8" s="1156"/>
      <c r="E8" s="1157"/>
      <c r="F8" s="1158"/>
      <c r="G8" s="1164" t="s">
        <v>1468</v>
      </c>
      <c r="H8" s="1165">
        <v>185</v>
      </c>
      <c r="I8" s="1160">
        <v>308</v>
      </c>
    </row>
    <row r="9" spans="1:12" ht="84">
      <c r="A9" s="1139" t="s">
        <v>1469</v>
      </c>
      <c r="B9" s="1140"/>
      <c r="C9" s="1166" t="s">
        <v>1456</v>
      </c>
      <c r="D9" s="1167" t="s">
        <v>1041</v>
      </c>
      <c r="E9" s="1167" t="s">
        <v>1040</v>
      </c>
      <c r="F9" s="1168" t="s">
        <v>1457</v>
      </c>
      <c r="G9" s="1167" t="s">
        <v>1458</v>
      </c>
      <c r="H9" s="1145" t="s">
        <v>1459</v>
      </c>
      <c r="I9" s="1146"/>
    </row>
    <row r="10" spans="1:12" ht="15.75">
      <c r="A10" s="1147"/>
      <c r="B10" s="1148"/>
      <c r="C10" s="1149"/>
      <c r="D10" s="1169"/>
      <c r="E10" s="1169"/>
      <c r="F10" s="1170"/>
      <c r="G10" s="1169"/>
      <c r="H10" s="1152" t="s">
        <v>217</v>
      </c>
      <c r="I10" s="1152" t="s">
        <v>1461</v>
      </c>
    </row>
    <row r="11" spans="1:12" ht="42" customHeight="1">
      <c r="A11" s="1171" t="s">
        <v>1470</v>
      </c>
      <c r="B11" s="1172"/>
      <c r="C11" s="1173"/>
      <c r="D11" s="1174">
        <v>0.24399999999999999</v>
      </c>
      <c r="E11" s="1175">
        <v>3</v>
      </c>
      <c r="F11" s="1176">
        <v>22</v>
      </c>
      <c r="G11" s="1177" t="s">
        <v>1471</v>
      </c>
      <c r="H11" s="1178">
        <v>240</v>
      </c>
      <c r="I11" s="1178">
        <v>328</v>
      </c>
    </row>
    <row r="12" spans="1:12" ht="32.25" customHeight="1">
      <c r="A12" s="1153"/>
      <c r="B12" s="1154"/>
      <c r="C12" s="1179"/>
      <c r="D12" s="1180"/>
      <c r="E12" s="1181"/>
      <c r="F12" s="1182"/>
      <c r="G12" s="1177" t="s">
        <v>1468</v>
      </c>
      <c r="H12" s="1178">
        <v>275</v>
      </c>
      <c r="I12" s="1178">
        <v>376</v>
      </c>
    </row>
    <row r="13" spans="1:12" ht="84">
      <c r="A13" s="1139" t="s">
        <v>1472</v>
      </c>
      <c r="B13" s="1140"/>
      <c r="C13" s="1166" t="s">
        <v>1456</v>
      </c>
      <c r="D13" s="1183" t="s">
        <v>1041</v>
      </c>
      <c r="E13" s="1183" t="s">
        <v>1040</v>
      </c>
      <c r="F13" s="1184" t="s">
        <v>1457</v>
      </c>
      <c r="G13" s="1183" t="s">
        <v>1458</v>
      </c>
      <c r="H13" s="1145" t="s">
        <v>1459</v>
      </c>
      <c r="I13" s="1146"/>
    </row>
    <row r="14" spans="1:12" ht="15.75">
      <c r="A14" s="1147"/>
      <c r="B14" s="1148"/>
      <c r="C14" s="1149"/>
      <c r="D14" s="1151"/>
      <c r="E14" s="1151"/>
      <c r="F14" s="1150"/>
      <c r="G14" s="1151"/>
      <c r="H14" s="1152" t="s">
        <v>217</v>
      </c>
      <c r="I14" s="1152" t="s">
        <v>1461</v>
      </c>
    </row>
    <row r="15" spans="1:12" ht="63">
      <c r="A15" s="1163" t="s">
        <v>1473</v>
      </c>
      <c r="B15" s="571"/>
      <c r="C15" s="1185"/>
      <c r="D15" s="1156">
        <v>0.30299999999999999</v>
      </c>
      <c r="E15" s="1157">
        <v>3</v>
      </c>
      <c r="F15" s="1186">
        <v>22</v>
      </c>
      <c r="G15" s="1186" t="s">
        <v>1474</v>
      </c>
      <c r="H15" s="1187">
        <v>262</v>
      </c>
      <c r="I15" s="1187">
        <v>291</v>
      </c>
    </row>
    <row r="16" spans="1:12" ht="78.75">
      <c r="A16" s="1163" t="s">
        <v>1475</v>
      </c>
      <c r="B16" s="571"/>
      <c r="C16" s="1155"/>
      <c r="D16" s="1156">
        <v>0.30299999999999999</v>
      </c>
      <c r="E16" s="1157">
        <v>3</v>
      </c>
      <c r="F16" s="1186">
        <v>22</v>
      </c>
      <c r="G16" s="1186" t="s">
        <v>1476</v>
      </c>
      <c r="H16" s="1187">
        <v>287</v>
      </c>
      <c r="I16" s="1187">
        <v>318</v>
      </c>
    </row>
    <row r="17" spans="1:9" ht="84">
      <c r="A17" s="1139" t="s">
        <v>1477</v>
      </c>
      <c r="B17" s="1140"/>
      <c r="C17" s="1166" t="s">
        <v>1456</v>
      </c>
      <c r="D17" s="1183" t="s">
        <v>1041</v>
      </c>
      <c r="E17" s="1183" t="s">
        <v>1040</v>
      </c>
      <c r="F17" s="1184" t="s">
        <v>1457</v>
      </c>
      <c r="G17" s="1183" t="s">
        <v>1458</v>
      </c>
      <c r="H17" s="1145" t="s">
        <v>1459</v>
      </c>
      <c r="I17" s="1146"/>
    </row>
    <row r="18" spans="1:9" ht="15.75">
      <c r="A18" s="1147"/>
      <c r="B18" s="1148"/>
      <c r="C18" s="1149"/>
      <c r="D18" s="1151"/>
      <c r="E18" s="1151"/>
      <c r="F18" s="1150"/>
      <c r="G18" s="1151"/>
      <c r="H18" s="1152" t="s">
        <v>217</v>
      </c>
      <c r="I18" s="1152" t="s">
        <v>1461</v>
      </c>
    </row>
    <row r="19" spans="1:9" ht="115.5" customHeight="1">
      <c r="A19" s="1163" t="s">
        <v>1478</v>
      </c>
      <c r="B19" s="571"/>
      <c r="C19" s="1173"/>
      <c r="D19" s="1156">
        <v>0.246</v>
      </c>
      <c r="E19" s="1157">
        <v>3</v>
      </c>
      <c r="F19" s="1186">
        <v>22</v>
      </c>
      <c r="G19" s="1186" t="s">
        <v>1474</v>
      </c>
      <c r="H19" s="1187">
        <v>291</v>
      </c>
      <c r="I19" s="1187">
        <v>398</v>
      </c>
    </row>
    <row r="20" spans="1:9" ht="63">
      <c r="A20" s="1163" t="s">
        <v>1478</v>
      </c>
      <c r="B20" s="571"/>
      <c r="C20" s="1188"/>
      <c r="D20" s="1156">
        <v>0.246</v>
      </c>
      <c r="E20" s="1157">
        <v>3</v>
      </c>
      <c r="F20" s="1186">
        <v>22</v>
      </c>
      <c r="G20" s="1186" t="s">
        <v>1476</v>
      </c>
      <c r="H20" s="1187">
        <v>335</v>
      </c>
      <c r="I20" s="1187">
        <v>458</v>
      </c>
    </row>
    <row r="21" spans="1:9" ht="84">
      <c r="A21" s="1139" t="s">
        <v>1479</v>
      </c>
      <c r="B21" s="1140"/>
      <c r="C21" s="1189" t="s">
        <v>1456</v>
      </c>
      <c r="D21" s="1190"/>
      <c r="E21" s="1183" t="s">
        <v>1040</v>
      </c>
      <c r="F21" s="1184" t="s">
        <v>1457</v>
      </c>
      <c r="G21" s="1183" t="s">
        <v>1458</v>
      </c>
      <c r="H21" s="1191" t="s">
        <v>1459</v>
      </c>
      <c r="I21" s="489"/>
    </row>
    <row r="22" spans="1:9" ht="15.75">
      <c r="A22" s="1147"/>
      <c r="B22" s="1148"/>
      <c r="C22" s="1192"/>
      <c r="D22" s="1193"/>
      <c r="E22" s="1151"/>
      <c r="F22" s="1150"/>
      <c r="G22" s="1151"/>
      <c r="H22" s="1194"/>
      <c r="I22" s="1195"/>
    </row>
    <row r="23" spans="1:9" ht="47.25">
      <c r="A23" s="1196" t="s">
        <v>1480</v>
      </c>
      <c r="B23" s="1197"/>
      <c r="C23" s="1198"/>
      <c r="D23" s="1199"/>
      <c r="E23" s="1200">
        <v>3</v>
      </c>
      <c r="F23" s="1201">
        <v>24</v>
      </c>
      <c r="G23" s="1202" t="s">
        <v>1481</v>
      </c>
      <c r="H23" s="1203">
        <v>274</v>
      </c>
      <c r="I23" s="1204"/>
    </row>
    <row r="24" spans="1:9" ht="16.5">
      <c r="A24" s="1205"/>
      <c r="B24" s="1206"/>
      <c r="C24" s="1207"/>
      <c r="D24" s="1208"/>
      <c r="E24" s="1209"/>
      <c r="F24" s="1210"/>
      <c r="G24" s="1155" t="s">
        <v>1468</v>
      </c>
      <c r="H24" s="1203">
        <v>316</v>
      </c>
      <c r="I24" s="1204"/>
    </row>
    <row r="25" spans="1:9" ht="16.5">
      <c r="A25" s="1211"/>
      <c r="B25" s="1212"/>
      <c r="C25" s="1207"/>
      <c r="D25" s="1208"/>
      <c r="E25" s="1209"/>
      <c r="F25" s="1210"/>
      <c r="G25" s="1213" t="s">
        <v>1476</v>
      </c>
      <c r="H25" s="1203">
        <v>295</v>
      </c>
      <c r="I25" s="1204"/>
    </row>
    <row r="26" spans="1:9" ht="16.5">
      <c r="A26" s="1196" t="s">
        <v>1482</v>
      </c>
      <c r="B26" s="1197"/>
      <c r="C26" s="1198"/>
      <c r="D26" s="1199"/>
      <c r="E26" s="1200">
        <v>3</v>
      </c>
      <c r="F26" s="1201">
        <v>51</v>
      </c>
      <c r="G26" s="1202" t="s">
        <v>1481</v>
      </c>
      <c r="H26" s="1203">
        <v>106</v>
      </c>
      <c r="I26" s="1204"/>
    </row>
    <row r="27" spans="1:9" ht="16.5">
      <c r="A27" s="1205"/>
      <c r="B27" s="1206"/>
      <c r="C27" s="1207"/>
      <c r="D27" s="1208"/>
      <c r="E27" s="1209"/>
      <c r="F27" s="1210"/>
      <c r="G27" s="1155" t="s">
        <v>1468</v>
      </c>
      <c r="H27" s="1203">
        <v>122</v>
      </c>
      <c r="I27" s="1204"/>
    </row>
    <row r="28" spans="1:9" ht="16.5">
      <c r="A28" s="1211"/>
      <c r="B28" s="1212"/>
      <c r="C28" s="1207"/>
      <c r="D28" s="1208"/>
      <c r="E28" s="1209"/>
      <c r="F28" s="1210"/>
      <c r="G28" s="1214" t="s">
        <v>1476</v>
      </c>
      <c r="H28" s="1203">
        <v>115</v>
      </c>
      <c r="I28" s="1204"/>
    </row>
    <row r="29" spans="1:9" ht="31.5">
      <c r="A29" s="1196" t="s">
        <v>1483</v>
      </c>
      <c r="B29" s="1197"/>
      <c r="C29" s="1215"/>
      <c r="D29" s="509"/>
      <c r="E29" s="1200">
        <v>3</v>
      </c>
      <c r="F29" s="1201">
        <v>50</v>
      </c>
      <c r="G29" s="1202" t="s">
        <v>1481</v>
      </c>
      <c r="H29" s="1203">
        <v>90</v>
      </c>
      <c r="I29" s="1204"/>
    </row>
    <row r="30" spans="1:9" ht="16.5">
      <c r="A30" s="1205"/>
      <c r="B30" s="1206"/>
      <c r="C30" s="1216"/>
      <c r="D30" s="1217"/>
      <c r="E30" s="1209"/>
      <c r="F30" s="1210"/>
      <c r="G30" s="1155" t="s">
        <v>1468</v>
      </c>
      <c r="H30" s="1203">
        <v>102</v>
      </c>
      <c r="I30" s="1204"/>
    </row>
    <row r="31" spans="1:9" ht="16.5">
      <c r="A31" s="1211"/>
      <c r="B31" s="1212"/>
      <c r="C31" s="1216"/>
      <c r="D31" s="1217"/>
      <c r="E31" s="1209"/>
      <c r="F31" s="1210"/>
      <c r="G31" s="1202" t="s">
        <v>1476</v>
      </c>
      <c r="H31" s="1203">
        <v>100</v>
      </c>
      <c r="I31" s="1204"/>
    </row>
    <row r="32" spans="1:9" ht="16.5">
      <c r="A32" s="1196" t="s">
        <v>1484</v>
      </c>
      <c r="B32" s="1197"/>
      <c r="C32" s="1215"/>
      <c r="D32" s="509"/>
      <c r="E32" s="1218">
        <v>3</v>
      </c>
      <c r="F32" s="1201">
        <v>36</v>
      </c>
      <c r="G32" s="1213" t="s">
        <v>1474</v>
      </c>
      <c r="H32" s="1203">
        <v>202</v>
      </c>
      <c r="I32" s="1204"/>
    </row>
    <row r="33" spans="1:9" ht="16.5">
      <c r="A33" s="1205"/>
      <c r="B33" s="1206"/>
      <c r="C33" s="511"/>
      <c r="D33" s="513"/>
      <c r="E33" s="1219"/>
      <c r="F33" s="1220"/>
      <c r="G33" s="1221" t="s">
        <v>1476</v>
      </c>
      <c r="H33" s="1203">
        <v>210</v>
      </c>
      <c r="I33" s="1204"/>
    </row>
    <row r="34" spans="1:9" ht="31.5">
      <c r="A34" s="1196" t="s">
        <v>1485</v>
      </c>
      <c r="B34" s="1197"/>
      <c r="C34" s="511"/>
      <c r="D34" s="513"/>
      <c r="E34" s="1209">
        <v>3</v>
      </c>
      <c r="F34" s="1210">
        <v>50</v>
      </c>
      <c r="G34" s="1222" t="s">
        <v>1486</v>
      </c>
      <c r="H34" s="1203">
        <v>156</v>
      </c>
      <c r="I34" s="1204"/>
    </row>
    <row r="35" spans="1:9" ht="31.5">
      <c r="A35" s="1196" t="s">
        <v>1487</v>
      </c>
      <c r="B35" s="1197"/>
      <c r="C35" s="1223"/>
      <c r="D35" s="1224"/>
      <c r="E35" s="1200">
        <v>3</v>
      </c>
      <c r="F35" s="1201">
        <v>40</v>
      </c>
      <c r="G35" s="1201" t="s">
        <v>1474</v>
      </c>
      <c r="H35" s="1203">
        <v>88</v>
      </c>
      <c r="I35" s="1204"/>
    </row>
    <row r="36" spans="1:9" ht="16.5">
      <c r="A36" s="1196" t="s">
        <v>1488</v>
      </c>
      <c r="B36" s="1197"/>
      <c r="C36" s="1198"/>
      <c r="D36" s="1199"/>
      <c r="E36" s="1200">
        <v>3</v>
      </c>
      <c r="F36" s="1201">
        <v>10</v>
      </c>
      <c r="G36" s="1202" t="s">
        <v>1481</v>
      </c>
      <c r="H36" s="1203">
        <v>305</v>
      </c>
      <c r="I36" s="1204"/>
    </row>
    <row r="37" spans="1:9" ht="16.5">
      <c r="A37" s="1205"/>
      <c r="B37" s="1206"/>
      <c r="C37" s="1207"/>
      <c r="D37" s="1208"/>
      <c r="E37" s="1209"/>
      <c r="F37" s="1210"/>
      <c r="G37" s="1155" t="s">
        <v>1468</v>
      </c>
      <c r="H37" s="1203">
        <v>347</v>
      </c>
      <c r="I37" s="1204"/>
    </row>
    <row r="38" spans="1:9" ht="16.5">
      <c r="A38" s="1211"/>
      <c r="B38" s="1212"/>
      <c r="C38" s="1207"/>
      <c r="D38" s="1208"/>
      <c r="E38" s="1209"/>
      <c r="F38" s="1210"/>
      <c r="G38" s="1202" t="s">
        <v>1476</v>
      </c>
      <c r="H38" s="1203">
        <v>1010</v>
      </c>
      <c r="I38" s="1204"/>
    </row>
    <row r="39" spans="1:9" ht="16.5">
      <c r="A39" s="1196" t="s">
        <v>1489</v>
      </c>
      <c r="B39" s="1197"/>
      <c r="C39" s="1198"/>
      <c r="D39" s="1199"/>
      <c r="E39" s="1200">
        <v>3</v>
      </c>
      <c r="F39" s="1201">
        <v>20</v>
      </c>
      <c r="G39" s="1202" t="s">
        <v>1481</v>
      </c>
      <c r="H39" s="1203">
        <v>264</v>
      </c>
      <c r="I39" s="1204"/>
    </row>
    <row r="40" spans="1:9" ht="16.5">
      <c r="A40" s="1205"/>
      <c r="B40" s="1206"/>
      <c r="C40" s="1207"/>
      <c r="D40" s="1208"/>
      <c r="E40" s="1209"/>
      <c r="F40" s="1210"/>
      <c r="G40" s="1155" t="s">
        <v>1468</v>
      </c>
      <c r="H40" s="1203">
        <v>308</v>
      </c>
      <c r="I40" s="1204"/>
    </row>
    <row r="41" spans="1:9" ht="16.5">
      <c r="A41" s="1211"/>
      <c r="B41" s="1212"/>
      <c r="C41" s="1207"/>
      <c r="D41" s="1208"/>
      <c r="E41" s="1209"/>
      <c r="F41" s="1210"/>
      <c r="G41" s="1202" t="s">
        <v>1476</v>
      </c>
      <c r="H41" s="1203">
        <v>287</v>
      </c>
      <c r="I41" s="1204"/>
    </row>
    <row r="42" spans="1:9" ht="31.5">
      <c r="A42" s="1196" t="s">
        <v>1490</v>
      </c>
      <c r="B42" s="1197"/>
      <c r="C42" s="1225"/>
      <c r="D42" s="1226"/>
      <c r="E42" s="1200">
        <v>3</v>
      </c>
      <c r="F42" s="1201">
        <v>24</v>
      </c>
      <c r="G42" s="1202" t="s">
        <v>1474</v>
      </c>
      <c r="H42" s="1203">
        <v>275</v>
      </c>
      <c r="I42" s="1204"/>
    </row>
    <row r="43" spans="1:9" ht="16.5">
      <c r="A43" s="1205"/>
      <c r="B43" s="1206"/>
      <c r="C43" s="1227"/>
      <c r="D43" s="1228"/>
      <c r="E43" s="1229"/>
      <c r="F43" s="1220"/>
      <c r="G43" s="1202" t="s">
        <v>1476</v>
      </c>
      <c r="H43" s="1203">
        <v>295</v>
      </c>
      <c r="I43" s="1204"/>
    </row>
    <row r="44" spans="1:9" ht="47.25">
      <c r="A44" s="1196" t="s">
        <v>1491</v>
      </c>
      <c r="B44" s="1197"/>
      <c r="C44" s="1225"/>
      <c r="D44" s="1226"/>
      <c r="E44" s="1200">
        <v>3.1</v>
      </c>
      <c r="F44" s="1201">
        <v>20</v>
      </c>
      <c r="G44" s="1202" t="s">
        <v>1474</v>
      </c>
      <c r="H44" s="1203">
        <v>275</v>
      </c>
      <c r="I44" s="1204"/>
    </row>
    <row r="45" spans="1:9" ht="16.5">
      <c r="A45" s="1205"/>
      <c r="B45" s="1206"/>
      <c r="C45" s="1230"/>
      <c r="D45" s="1231"/>
      <c r="E45" s="1209"/>
      <c r="F45" s="1210"/>
      <c r="G45" s="1214" t="s">
        <v>1476</v>
      </c>
      <c r="H45" s="1203">
        <v>295</v>
      </c>
      <c r="I45" s="1204"/>
    </row>
    <row r="46" spans="1:9" ht="31.5">
      <c r="A46" s="1196" t="s">
        <v>1492</v>
      </c>
      <c r="B46" s="1197"/>
      <c r="C46" s="1198"/>
      <c r="D46" s="1199"/>
      <c r="E46" s="1200">
        <v>3.1</v>
      </c>
      <c r="F46" s="1232">
        <v>12</v>
      </c>
      <c r="G46" s="1202" t="s">
        <v>1474</v>
      </c>
      <c r="H46" s="1203">
        <v>275</v>
      </c>
      <c r="I46" s="1204"/>
    </row>
    <row r="47" spans="1:9" ht="16.5">
      <c r="A47" s="1205"/>
      <c r="B47" s="1206"/>
      <c r="C47" s="1207"/>
      <c r="D47" s="1208"/>
      <c r="E47" s="1209"/>
      <c r="F47" s="1233"/>
      <c r="G47" s="1214" t="s">
        <v>1476</v>
      </c>
      <c r="H47" s="1203">
        <v>295</v>
      </c>
      <c r="I47" s="1204"/>
    </row>
    <row r="48" spans="1:9" ht="16.5">
      <c r="A48" s="1234" t="s">
        <v>1493</v>
      </c>
      <c r="B48" s="1235"/>
      <c r="C48" s="1223"/>
      <c r="D48" s="1224"/>
      <c r="E48" s="1236">
        <v>3</v>
      </c>
      <c r="F48" s="1202">
        <v>60</v>
      </c>
      <c r="G48" s="1202" t="s">
        <v>1474</v>
      </c>
      <c r="H48" s="1203">
        <v>120</v>
      </c>
      <c r="I48" s="1204"/>
    </row>
  </sheetData>
  <customSheetViews>
    <customSheetView guid="{FBB3E572-A647-4B8C-96C7-F43FE4F7CAA8}">
      <pageMargins left="0.7" right="0.7" top="0.75" bottom="0.75" header="0.3" footer="0.3"/>
    </customSheetView>
    <customSheetView guid="{900EF7B2-0D63-4DE2-9CFC-2D2B3788802C}">
      <pageMargins left="0.7" right="0.7" top="0.75" bottom="0.75" header="0.3" footer="0.3"/>
    </customSheetView>
    <customSheetView guid="{CC6D6007-EFDE-464F-BD7C-A67043AC5D5C}">
      <pageMargins left="0.7" right="0.7" top="0.75" bottom="0.75" header="0.3" footer="0.3"/>
    </customSheetView>
    <customSheetView guid="{C0FE86CC-5BB4-4265-957F-F51B909B3E81}">
      <pageMargins left="0.7" right="0.7" top="0.75" bottom="0.75" header="0.3" footer="0.3"/>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H64"/>
  <sheetViews>
    <sheetView workbookViewId="0">
      <selection activeCell="A2" sqref="A2:H2"/>
    </sheetView>
  </sheetViews>
  <sheetFormatPr defaultRowHeight="15"/>
  <cols>
    <col min="1" max="1" width="19.140625" customWidth="1"/>
    <col min="2" max="2" width="20.140625" customWidth="1"/>
    <col min="3" max="4" width="19" customWidth="1"/>
    <col min="5" max="5" width="16.7109375" customWidth="1"/>
    <col min="6" max="6" width="17.42578125" customWidth="1"/>
    <col min="7" max="7" width="16.140625" customWidth="1"/>
    <col min="8" max="8" width="16.42578125" customWidth="1"/>
  </cols>
  <sheetData>
    <row r="1" spans="1:8">
      <c r="A1" s="1267" t="s">
        <v>1523</v>
      </c>
      <c r="B1" s="1268"/>
      <c r="C1" s="1268"/>
      <c r="D1" s="1268"/>
      <c r="E1" s="1268"/>
      <c r="F1" s="1267" t="s">
        <v>1522</v>
      </c>
      <c r="G1" s="1268"/>
      <c r="H1" s="1268"/>
    </row>
    <row r="2" spans="1:8" ht="28.5">
      <c r="A2" s="1138" t="s">
        <v>1285</v>
      </c>
      <c r="B2" s="952"/>
      <c r="C2" s="952"/>
      <c r="D2" s="952"/>
      <c r="E2" s="952"/>
      <c r="F2" s="952"/>
      <c r="G2" s="952"/>
      <c r="H2" s="952"/>
    </row>
    <row r="4" spans="1:8">
      <c r="A4" s="1239"/>
      <c r="B4" s="1239"/>
      <c r="C4" s="1266" t="s">
        <v>1494</v>
      </c>
      <c r="D4" s="1240"/>
      <c r="E4" s="1241"/>
      <c r="F4" s="1240"/>
      <c r="G4" s="1241"/>
      <c r="H4" s="1240"/>
    </row>
    <row r="5" spans="1:8" ht="24">
      <c r="A5" s="1298" t="s">
        <v>781</v>
      </c>
      <c r="B5" s="1298" t="s">
        <v>1495</v>
      </c>
      <c r="C5" s="1298" t="s">
        <v>1496</v>
      </c>
      <c r="D5" s="1243"/>
      <c r="E5" s="1243"/>
      <c r="F5" s="1243"/>
      <c r="G5" s="1243"/>
      <c r="H5" s="1243"/>
    </row>
    <row r="6" spans="1:8">
      <c r="A6" s="1242"/>
      <c r="B6" s="1242"/>
      <c r="C6" s="1242"/>
      <c r="D6" s="1243"/>
      <c r="E6" s="1243"/>
      <c r="F6" s="1243"/>
      <c r="G6" s="1243"/>
      <c r="H6" s="1243"/>
    </row>
    <row r="7" spans="1:8" ht="15.75" thickBot="1">
      <c r="A7" s="1242"/>
      <c r="B7" s="1242"/>
      <c r="C7" s="1242"/>
      <c r="D7" s="1312" t="s">
        <v>1497</v>
      </c>
      <c r="E7" s="1243"/>
      <c r="F7" s="1312" t="s">
        <v>1498</v>
      </c>
      <c r="G7" s="1243"/>
      <c r="H7" s="1244"/>
    </row>
    <row r="8" spans="1:8" ht="16.5" thickTop="1" thickBot="1">
      <c r="A8" s="1298"/>
      <c r="B8" s="1242"/>
      <c r="C8" s="1242"/>
      <c r="D8" s="1298" t="s">
        <v>1499</v>
      </c>
      <c r="E8" s="1313" t="s">
        <v>786</v>
      </c>
      <c r="F8" s="1298" t="s">
        <v>1499</v>
      </c>
      <c r="G8" s="1313" t="s">
        <v>786</v>
      </c>
      <c r="H8" s="1244"/>
    </row>
    <row r="9" spans="1:8" ht="22.5" thickTop="1" thickBot="1">
      <c r="A9" s="1299" t="s">
        <v>1500</v>
      </c>
      <c r="B9" s="1299" t="s">
        <v>1501</v>
      </c>
      <c r="C9" s="1314">
        <v>0.4</v>
      </c>
      <c r="D9" s="1246"/>
      <c r="E9" s="1246"/>
      <c r="F9" s="1269">
        <v>362</v>
      </c>
      <c r="G9" s="1247"/>
      <c r="H9" s="1248"/>
    </row>
    <row r="10" spans="1:8" ht="16.5" thickTop="1" thickBot="1">
      <c r="A10" s="1299"/>
      <c r="B10" s="1299"/>
      <c r="C10" s="1314" t="s">
        <v>1502</v>
      </c>
      <c r="D10" s="1245"/>
      <c r="E10" s="1245"/>
      <c r="F10" s="1270">
        <v>380</v>
      </c>
      <c r="G10" s="1249"/>
      <c r="H10" s="1248"/>
    </row>
    <row r="11" spans="1:8" ht="16.5" thickTop="1" thickBot="1">
      <c r="A11" s="1299"/>
      <c r="B11" s="1299"/>
      <c r="C11" s="1314" t="s">
        <v>1503</v>
      </c>
      <c r="D11" s="1245"/>
      <c r="E11" s="1245"/>
      <c r="F11" s="1270">
        <v>385</v>
      </c>
      <c r="G11" s="1249"/>
      <c r="H11" s="1248"/>
    </row>
    <row r="12" spans="1:8" ht="15.75" thickTop="1">
      <c r="A12" s="1300"/>
      <c r="B12" s="1300"/>
      <c r="C12" s="1315">
        <v>0.5</v>
      </c>
      <c r="D12" s="1250"/>
      <c r="E12" s="1250"/>
      <c r="F12" s="1271">
        <v>410</v>
      </c>
      <c r="G12" s="1251"/>
      <c r="H12" s="1248"/>
    </row>
    <row r="13" spans="1:8" ht="21">
      <c r="A13" s="1301" t="s">
        <v>1504</v>
      </c>
      <c r="B13" s="1301" t="s">
        <v>1505</v>
      </c>
      <c r="C13" s="1316">
        <v>0.4</v>
      </c>
      <c r="D13" s="1252"/>
      <c r="E13" s="1252"/>
      <c r="F13" s="1272">
        <v>370</v>
      </c>
      <c r="G13" s="1253"/>
      <c r="H13" s="1248"/>
    </row>
    <row r="14" spans="1:8">
      <c r="A14" s="1301"/>
      <c r="B14" s="1301"/>
      <c r="C14" s="1316" t="s">
        <v>1502</v>
      </c>
      <c r="D14" s="1252"/>
      <c r="E14" s="1252"/>
      <c r="F14" s="1272">
        <v>385</v>
      </c>
      <c r="G14" s="1253"/>
      <c r="H14" s="1248"/>
    </row>
    <row r="15" spans="1:8">
      <c r="A15" s="1301"/>
      <c r="B15" s="1301"/>
      <c r="C15" s="1316" t="s">
        <v>1503</v>
      </c>
      <c r="D15" s="1252"/>
      <c r="E15" s="1252"/>
      <c r="F15" s="1272">
        <v>390</v>
      </c>
      <c r="G15" s="1253"/>
      <c r="H15" s="1248"/>
    </row>
    <row r="16" spans="1:8" ht="15.75" thickBot="1">
      <c r="A16" s="1302"/>
      <c r="B16" s="1302"/>
      <c r="C16" s="1317">
        <v>0.5</v>
      </c>
      <c r="D16" s="1254"/>
      <c r="E16" s="1254"/>
      <c r="F16" s="1273">
        <v>415</v>
      </c>
      <c r="G16" s="1255"/>
      <c r="H16" s="1248"/>
    </row>
    <row r="17" spans="1:8">
      <c r="A17" s="1303" t="s">
        <v>1506</v>
      </c>
      <c r="B17" s="1325" t="s">
        <v>1507</v>
      </c>
      <c r="C17" s="1318">
        <v>0.3</v>
      </c>
      <c r="D17" s="1274">
        <v>235</v>
      </c>
      <c r="E17" s="1277">
        <v>280</v>
      </c>
      <c r="F17" s="1279">
        <v>265</v>
      </c>
      <c r="G17" s="1281">
        <v>315</v>
      </c>
      <c r="H17" s="1248"/>
    </row>
    <row r="18" spans="1:8">
      <c r="A18" s="1304"/>
      <c r="B18" s="1326"/>
      <c r="C18" s="1316">
        <v>0.35</v>
      </c>
      <c r="D18" s="1275">
        <v>260</v>
      </c>
      <c r="E18" s="1278">
        <v>310</v>
      </c>
      <c r="F18" s="1280">
        <v>293</v>
      </c>
      <c r="G18" s="1282">
        <v>350</v>
      </c>
      <c r="H18" s="1248"/>
    </row>
    <row r="19" spans="1:8">
      <c r="A19" s="1304"/>
      <c r="B19" s="1326"/>
      <c r="C19" s="1316">
        <v>0.4</v>
      </c>
      <c r="D19" s="1275">
        <v>277</v>
      </c>
      <c r="E19" s="1278">
        <v>330</v>
      </c>
      <c r="F19" s="1280">
        <v>325</v>
      </c>
      <c r="G19" s="1282">
        <v>390</v>
      </c>
      <c r="H19" s="1248"/>
    </row>
    <row r="20" spans="1:8">
      <c r="A20" s="1304"/>
      <c r="B20" s="1326"/>
      <c r="C20" s="1316" t="s">
        <v>1502</v>
      </c>
      <c r="D20" s="1275">
        <v>305</v>
      </c>
      <c r="E20" s="1278">
        <v>360</v>
      </c>
      <c r="F20" s="1280">
        <v>345</v>
      </c>
      <c r="G20" s="1282">
        <v>410</v>
      </c>
      <c r="H20" s="1248"/>
    </row>
    <row r="21" spans="1:8">
      <c r="A21" s="1304"/>
      <c r="B21" s="1326"/>
      <c r="C21" s="1316" t="s">
        <v>1503</v>
      </c>
      <c r="D21" s="1275" t="s">
        <v>1508</v>
      </c>
      <c r="E21" s="1275" t="s">
        <v>1508</v>
      </c>
      <c r="F21" s="1280">
        <v>350</v>
      </c>
      <c r="G21" s="1282">
        <v>415</v>
      </c>
      <c r="H21" s="1248"/>
    </row>
    <row r="22" spans="1:8">
      <c r="A22" s="1304"/>
      <c r="B22" s="1326"/>
      <c r="C22" s="1316" t="s">
        <v>1509</v>
      </c>
      <c r="D22" s="1275" t="s">
        <v>1508</v>
      </c>
      <c r="E22" s="1275" t="s">
        <v>1508</v>
      </c>
      <c r="F22" s="1280">
        <v>380</v>
      </c>
      <c r="G22" s="1282">
        <v>460</v>
      </c>
      <c r="H22" s="1248"/>
    </row>
    <row r="23" spans="1:8">
      <c r="A23" s="1304"/>
      <c r="B23" s="1326"/>
      <c r="C23" s="1316">
        <v>0.5</v>
      </c>
      <c r="D23" s="1275">
        <v>320</v>
      </c>
      <c r="E23" s="1278">
        <v>385</v>
      </c>
      <c r="F23" s="1280">
        <v>370</v>
      </c>
      <c r="G23" s="1282">
        <v>440</v>
      </c>
      <c r="H23" s="1248"/>
    </row>
    <row r="24" spans="1:8" ht="15.75" thickBot="1">
      <c r="A24" s="1305"/>
      <c r="B24" s="1327"/>
      <c r="C24" s="1319" t="s">
        <v>1510</v>
      </c>
      <c r="D24" s="1276"/>
      <c r="E24" s="1276"/>
      <c r="F24" s="1276"/>
      <c r="G24" s="1283"/>
      <c r="H24" s="1248"/>
    </row>
    <row r="25" spans="1:8">
      <c r="A25" s="1306" t="s">
        <v>1511</v>
      </c>
      <c r="B25" s="1328" t="s">
        <v>1512</v>
      </c>
      <c r="C25" s="1320">
        <v>0.3</v>
      </c>
      <c r="D25" s="1284">
        <v>240</v>
      </c>
      <c r="E25" s="1277">
        <v>280</v>
      </c>
      <c r="F25" s="1288">
        <v>270</v>
      </c>
      <c r="G25" s="1281">
        <v>310</v>
      </c>
      <c r="H25" s="1248"/>
    </row>
    <row r="26" spans="1:8">
      <c r="A26" s="1307"/>
      <c r="B26" s="1329"/>
      <c r="C26" s="1321">
        <v>0.35</v>
      </c>
      <c r="D26" s="1285">
        <v>260</v>
      </c>
      <c r="E26" s="1278">
        <v>310</v>
      </c>
      <c r="F26" s="1289">
        <v>300</v>
      </c>
      <c r="G26" s="1282">
        <v>350</v>
      </c>
      <c r="H26" s="1248"/>
    </row>
    <row r="27" spans="1:8">
      <c r="A27" s="1307"/>
      <c r="B27" s="1329"/>
      <c r="C27" s="1314">
        <v>0.4</v>
      </c>
      <c r="D27" s="1286">
        <v>290</v>
      </c>
      <c r="E27" s="1278">
        <v>330</v>
      </c>
      <c r="F27" s="1290">
        <v>335</v>
      </c>
      <c r="G27" s="1282">
        <v>390</v>
      </c>
      <c r="H27" s="1248"/>
    </row>
    <row r="28" spans="1:8">
      <c r="A28" s="1307"/>
      <c r="B28" s="1329"/>
      <c r="C28" s="1314" t="s">
        <v>1502</v>
      </c>
      <c r="D28" s="1286">
        <v>312</v>
      </c>
      <c r="E28" s="1278">
        <v>360</v>
      </c>
      <c r="F28" s="1290">
        <v>356</v>
      </c>
      <c r="G28" s="1282">
        <v>410</v>
      </c>
      <c r="H28" s="1248"/>
    </row>
    <row r="29" spans="1:8">
      <c r="A29" s="1307"/>
      <c r="B29" s="1329"/>
      <c r="C29" s="1314" t="s">
        <v>1503</v>
      </c>
      <c r="D29" s="1286" t="s">
        <v>1513</v>
      </c>
      <c r="E29" s="1275" t="s">
        <v>1508</v>
      </c>
      <c r="F29" s="1290">
        <v>360</v>
      </c>
      <c r="G29" s="1282">
        <v>410</v>
      </c>
      <c r="H29" s="1248"/>
    </row>
    <row r="30" spans="1:8">
      <c r="A30" s="1307"/>
      <c r="B30" s="1329"/>
      <c r="C30" s="1314" t="s">
        <v>1509</v>
      </c>
      <c r="D30" s="1286" t="s">
        <v>1508</v>
      </c>
      <c r="E30" s="1275" t="s">
        <v>1508</v>
      </c>
      <c r="F30" s="1290" t="s">
        <v>1508</v>
      </c>
      <c r="G30" s="1282" t="s">
        <v>1508</v>
      </c>
      <c r="H30" s="1248"/>
    </row>
    <row r="31" spans="1:8">
      <c r="A31" s="1307"/>
      <c r="B31" s="1329"/>
      <c r="C31" s="1314">
        <v>0.5</v>
      </c>
      <c r="D31" s="1286">
        <v>330</v>
      </c>
      <c r="E31" s="1278">
        <v>380</v>
      </c>
      <c r="F31" s="1290">
        <v>380</v>
      </c>
      <c r="G31" s="1282">
        <v>435</v>
      </c>
      <c r="H31" s="1248"/>
    </row>
    <row r="32" spans="1:8" ht="15.75" thickBot="1">
      <c r="A32" s="1308"/>
      <c r="B32" s="1330"/>
      <c r="C32" s="1322" t="s">
        <v>1510</v>
      </c>
      <c r="D32" s="1287"/>
      <c r="E32" s="1287"/>
      <c r="F32" s="1287"/>
      <c r="G32" s="1291"/>
      <c r="H32" s="1248"/>
    </row>
    <row r="33" spans="1:8" ht="21">
      <c r="A33" s="1309" t="s">
        <v>1514</v>
      </c>
      <c r="B33" s="1328" t="s">
        <v>1515</v>
      </c>
      <c r="C33" s="1320">
        <v>0.3</v>
      </c>
      <c r="D33" s="1292">
        <v>238</v>
      </c>
      <c r="E33" s="1277">
        <v>280</v>
      </c>
      <c r="F33" s="1288">
        <v>260</v>
      </c>
      <c r="G33" s="1281">
        <v>310</v>
      </c>
      <c r="H33" s="1248"/>
    </row>
    <row r="34" spans="1:8">
      <c r="A34" s="1310"/>
      <c r="B34" s="1329"/>
      <c r="C34" s="1321">
        <v>0.35</v>
      </c>
      <c r="D34" s="1275">
        <v>260</v>
      </c>
      <c r="E34" s="1293">
        <v>310</v>
      </c>
      <c r="F34" s="1289">
        <v>290</v>
      </c>
      <c r="G34" s="1282">
        <v>350</v>
      </c>
      <c r="H34" s="1248"/>
    </row>
    <row r="35" spans="1:8">
      <c r="A35" s="1310"/>
      <c r="B35" s="1329"/>
      <c r="C35" s="1314">
        <v>0.4</v>
      </c>
      <c r="D35" s="1275">
        <v>280</v>
      </c>
      <c r="E35" s="1293">
        <v>330</v>
      </c>
      <c r="F35" s="1289">
        <v>330</v>
      </c>
      <c r="G35" s="1282">
        <v>390</v>
      </c>
      <c r="H35" s="1248"/>
    </row>
    <row r="36" spans="1:8">
      <c r="A36" s="1310"/>
      <c r="B36" s="1329"/>
      <c r="C36" s="1314" t="s">
        <v>1502</v>
      </c>
      <c r="D36" s="1275">
        <v>300</v>
      </c>
      <c r="E36" s="1293">
        <v>360</v>
      </c>
      <c r="F36" s="1289">
        <v>350</v>
      </c>
      <c r="G36" s="1282">
        <v>410</v>
      </c>
      <c r="H36" s="1248"/>
    </row>
    <row r="37" spans="1:8">
      <c r="A37" s="1310"/>
      <c r="B37" s="1329"/>
      <c r="C37" s="1314" t="s">
        <v>1503</v>
      </c>
      <c r="D37" s="1275" t="s">
        <v>1508</v>
      </c>
      <c r="E37" s="1294" t="s">
        <v>1508</v>
      </c>
      <c r="F37" s="1289">
        <v>350</v>
      </c>
      <c r="G37" s="1282">
        <v>410</v>
      </c>
      <c r="H37" s="1248"/>
    </row>
    <row r="38" spans="1:8">
      <c r="A38" s="1310"/>
      <c r="B38" s="1329"/>
      <c r="C38" s="1314" t="s">
        <v>1509</v>
      </c>
      <c r="D38" s="1275" t="s">
        <v>1508</v>
      </c>
      <c r="E38" s="1294" t="s">
        <v>1508</v>
      </c>
      <c r="F38" s="1289" t="s">
        <v>1508</v>
      </c>
      <c r="G38" s="1282" t="s">
        <v>1508</v>
      </c>
      <c r="H38" s="1248"/>
    </row>
    <row r="39" spans="1:8">
      <c r="A39" s="1310"/>
      <c r="B39" s="1329"/>
      <c r="C39" s="1314">
        <v>0.5</v>
      </c>
      <c r="D39" s="1285">
        <v>320</v>
      </c>
      <c r="E39" s="1278">
        <v>380</v>
      </c>
      <c r="F39" s="1289">
        <v>370</v>
      </c>
      <c r="G39" s="1282">
        <v>440</v>
      </c>
      <c r="H39" s="1248"/>
    </row>
    <row r="40" spans="1:8" ht="15.75" thickBot="1">
      <c r="A40" s="1311"/>
      <c r="B40" s="1330"/>
      <c r="C40" s="1322" t="s">
        <v>1510</v>
      </c>
      <c r="D40" s="1287"/>
      <c r="E40" s="1287"/>
      <c r="F40" s="1287"/>
      <c r="G40" s="1291"/>
      <c r="H40" s="1248"/>
    </row>
    <row r="41" spans="1:8">
      <c r="A41" s="1306" t="s">
        <v>1516</v>
      </c>
      <c r="B41" s="1328" t="s">
        <v>1517</v>
      </c>
      <c r="C41" s="1320">
        <v>0.3</v>
      </c>
      <c r="D41" s="1284">
        <v>260</v>
      </c>
      <c r="E41" s="1277">
        <v>280</v>
      </c>
      <c r="F41" s="1288">
        <v>300</v>
      </c>
      <c r="G41" s="1281">
        <v>310</v>
      </c>
      <c r="H41" s="1248"/>
    </row>
    <row r="42" spans="1:8">
      <c r="A42" s="1307"/>
      <c r="B42" s="1329"/>
      <c r="C42" s="1321">
        <v>0.35</v>
      </c>
      <c r="D42" s="1285">
        <v>290</v>
      </c>
      <c r="E42" s="1278">
        <v>310</v>
      </c>
      <c r="F42" s="1289">
        <v>330</v>
      </c>
      <c r="G42" s="1282">
        <v>350</v>
      </c>
      <c r="H42" s="1248"/>
    </row>
    <row r="43" spans="1:8">
      <c r="A43" s="1307"/>
      <c r="B43" s="1329"/>
      <c r="C43" s="1321">
        <v>0.4</v>
      </c>
      <c r="D43" s="1285">
        <v>310</v>
      </c>
      <c r="E43" s="1278">
        <v>330</v>
      </c>
      <c r="F43" s="1289">
        <v>370</v>
      </c>
      <c r="G43" s="1282">
        <v>390</v>
      </c>
      <c r="H43" s="1248"/>
    </row>
    <row r="44" spans="1:8">
      <c r="A44" s="1307"/>
      <c r="B44" s="1329"/>
      <c r="C44" s="1314" t="s">
        <v>1502</v>
      </c>
      <c r="D44" s="1286">
        <v>340</v>
      </c>
      <c r="E44" s="1278">
        <v>360</v>
      </c>
      <c r="F44" s="1290">
        <v>390</v>
      </c>
      <c r="G44" s="1282">
        <v>410</v>
      </c>
      <c r="H44" s="1248"/>
    </row>
    <row r="45" spans="1:8">
      <c r="A45" s="1307"/>
      <c r="B45" s="1329"/>
      <c r="C45" s="1314" t="s">
        <v>1503</v>
      </c>
      <c r="D45" s="1286" t="s">
        <v>1508</v>
      </c>
      <c r="E45" s="1275" t="s">
        <v>1508</v>
      </c>
      <c r="F45" s="1290">
        <v>390</v>
      </c>
      <c r="G45" s="1282">
        <v>410</v>
      </c>
      <c r="H45" s="1248"/>
    </row>
    <row r="46" spans="1:8">
      <c r="A46" s="1307"/>
      <c r="B46" s="1329"/>
      <c r="C46" s="1314" t="s">
        <v>1509</v>
      </c>
      <c r="D46" s="1286" t="s">
        <v>1508</v>
      </c>
      <c r="E46" s="1275" t="s">
        <v>1508</v>
      </c>
      <c r="F46" s="1290" t="s">
        <v>1508</v>
      </c>
      <c r="G46" s="1282" t="s">
        <v>1508</v>
      </c>
      <c r="H46" s="1248"/>
    </row>
    <row r="47" spans="1:8">
      <c r="A47" s="1307"/>
      <c r="B47" s="1329"/>
      <c r="C47" s="1314">
        <v>0.5</v>
      </c>
      <c r="D47" s="1286">
        <v>360</v>
      </c>
      <c r="E47" s="1278">
        <v>380</v>
      </c>
      <c r="F47" s="1290">
        <v>420</v>
      </c>
      <c r="G47" s="1282">
        <v>440</v>
      </c>
      <c r="H47" s="1248"/>
    </row>
    <row r="48" spans="1:8" ht="15.75" thickBot="1">
      <c r="A48" s="1308"/>
      <c r="B48" s="1330"/>
      <c r="C48" s="1322" t="s">
        <v>1510</v>
      </c>
      <c r="D48" s="1287"/>
      <c r="E48" s="1287"/>
      <c r="F48" s="1287"/>
      <c r="G48" s="1291"/>
      <c r="H48" s="1248"/>
    </row>
    <row r="49" spans="1:8">
      <c r="A49" s="1306" t="s">
        <v>1518</v>
      </c>
      <c r="B49" s="1328">
        <v>1250</v>
      </c>
      <c r="C49" s="1320">
        <v>0.3</v>
      </c>
      <c r="D49" s="1284">
        <v>225</v>
      </c>
      <c r="E49" s="1277">
        <v>280</v>
      </c>
      <c r="F49" s="1288">
        <v>250</v>
      </c>
      <c r="G49" s="1281">
        <v>310</v>
      </c>
      <c r="H49" s="1248"/>
    </row>
    <row r="50" spans="1:8">
      <c r="A50" s="1307"/>
      <c r="B50" s="1329"/>
      <c r="C50" s="1321">
        <v>0.35</v>
      </c>
      <c r="D50" s="1285">
        <v>240</v>
      </c>
      <c r="E50" s="1278">
        <v>310</v>
      </c>
      <c r="F50" s="1289">
        <v>280</v>
      </c>
      <c r="G50" s="1282">
        <v>350</v>
      </c>
      <c r="H50" s="1248"/>
    </row>
    <row r="51" spans="1:8">
      <c r="A51" s="1307"/>
      <c r="B51" s="1329"/>
      <c r="C51" s="1314">
        <v>0.4</v>
      </c>
      <c r="D51" s="1286">
        <v>265</v>
      </c>
      <c r="E51" s="1278">
        <v>330</v>
      </c>
      <c r="F51" s="1290">
        <v>310</v>
      </c>
      <c r="G51" s="1282">
        <v>380</v>
      </c>
      <c r="H51" s="1248"/>
    </row>
    <row r="52" spans="1:8">
      <c r="A52" s="1307"/>
      <c r="B52" s="1329"/>
      <c r="C52" s="1314" t="s">
        <v>1502</v>
      </c>
      <c r="D52" s="1286">
        <v>285</v>
      </c>
      <c r="E52" s="1278">
        <v>360</v>
      </c>
      <c r="F52" s="1290">
        <v>330</v>
      </c>
      <c r="G52" s="1282">
        <v>400</v>
      </c>
      <c r="H52" s="1248"/>
    </row>
    <row r="53" spans="1:8">
      <c r="A53" s="1307"/>
      <c r="B53" s="1329"/>
      <c r="C53" s="1314" t="s">
        <v>1503</v>
      </c>
      <c r="D53" s="1286" t="s">
        <v>1508</v>
      </c>
      <c r="E53" s="1275" t="s">
        <v>1508</v>
      </c>
      <c r="F53" s="1290">
        <v>330</v>
      </c>
      <c r="G53" s="1282">
        <v>410</v>
      </c>
      <c r="H53" s="1248"/>
    </row>
    <row r="54" spans="1:8">
      <c r="A54" s="1307"/>
      <c r="B54" s="1329"/>
      <c r="C54" s="1314" t="s">
        <v>1509</v>
      </c>
      <c r="D54" s="1286" t="s">
        <v>1508</v>
      </c>
      <c r="E54" s="1275" t="s">
        <v>1508</v>
      </c>
      <c r="F54" s="1290" t="s">
        <v>1508</v>
      </c>
      <c r="G54" s="1282" t="s">
        <v>1508</v>
      </c>
      <c r="H54" s="1248"/>
    </row>
    <row r="55" spans="1:8">
      <c r="A55" s="1307"/>
      <c r="B55" s="1329"/>
      <c r="C55" s="1314">
        <v>0.5</v>
      </c>
      <c r="D55" s="1286">
        <v>305</v>
      </c>
      <c r="E55" s="1278">
        <v>380</v>
      </c>
      <c r="F55" s="1290">
        <v>345</v>
      </c>
      <c r="G55" s="1282">
        <v>440</v>
      </c>
      <c r="H55" s="1248"/>
    </row>
    <row r="56" spans="1:8">
      <c r="A56" s="1307"/>
      <c r="B56" s="1329"/>
      <c r="C56" s="1314">
        <v>0.55000000000000004</v>
      </c>
      <c r="D56" s="1286">
        <v>340</v>
      </c>
      <c r="E56" s="1296">
        <v>420</v>
      </c>
      <c r="F56" s="1290">
        <v>385</v>
      </c>
      <c r="G56" s="1323">
        <v>500</v>
      </c>
      <c r="H56" s="1248"/>
    </row>
    <row r="57" spans="1:8">
      <c r="A57" s="1307"/>
      <c r="B57" s="1329"/>
      <c r="C57" s="1314">
        <v>0.6</v>
      </c>
      <c r="D57" s="1286">
        <v>360</v>
      </c>
      <c r="E57" s="1296">
        <v>460</v>
      </c>
      <c r="F57" s="1290">
        <v>440</v>
      </c>
      <c r="G57" s="1323">
        <v>550</v>
      </c>
      <c r="H57" s="1248"/>
    </row>
    <row r="58" spans="1:8">
      <c r="A58" s="1307"/>
      <c r="B58" s="1329"/>
      <c r="C58" s="1314">
        <v>0.65</v>
      </c>
      <c r="D58" s="1286">
        <v>380</v>
      </c>
      <c r="E58" s="1296">
        <v>480</v>
      </c>
      <c r="F58" s="1290">
        <v>460</v>
      </c>
      <c r="G58" s="1323">
        <v>580</v>
      </c>
      <c r="H58" s="1248"/>
    </row>
    <row r="59" spans="1:8" ht="15.75" thickBot="1">
      <c r="A59" s="1308"/>
      <c r="B59" s="1330"/>
      <c r="C59" s="1322">
        <v>0.7</v>
      </c>
      <c r="D59" s="1295">
        <v>410</v>
      </c>
      <c r="E59" s="1297">
        <v>520</v>
      </c>
      <c r="F59" s="1287">
        <v>480</v>
      </c>
      <c r="G59" s="1324">
        <v>590</v>
      </c>
      <c r="H59" s="1248"/>
    </row>
    <row r="60" spans="1:8" ht="23.25" thickBot="1">
      <c r="A60" s="1257" t="s">
        <v>1519</v>
      </c>
      <c r="B60" s="1257">
        <v>1250</v>
      </c>
      <c r="C60" s="1258"/>
      <c r="D60" s="1256"/>
      <c r="E60" s="1256"/>
      <c r="F60" s="1259">
        <f t="shared" ref="F60" si="0">G60/1.25</f>
        <v>12</v>
      </c>
      <c r="G60" s="1260">
        <v>15</v>
      </c>
      <c r="H60" s="1248"/>
    </row>
    <row r="61" spans="1:8" ht="15.75" thickTop="1">
      <c r="A61" s="1261" t="s">
        <v>1520</v>
      </c>
      <c r="B61" s="1261"/>
      <c r="C61" s="1261"/>
      <c r="D61" s="1261"/>
      <c r="E61" s="1262"/>
      <c r="F61" s="1261"/>
      <c r="G61" s="1262"/>
      <c r="H61" s="1263"/>
    </row>
    <row r="62" spans="1:8" ht="56.25">
      <c r="A62" s="1264" t="s">
        <v>1521</v>
      </c>
      <c r="B62" s="1264"/>
      <c r="C62" s="1264"/>
      <c r="D62" s="1264"/>
      <c r="E62" s="1264"/>
      <c r="F62" s="1264"/>
      <c r="G62" s="1264"/>
      <c r="H62" s="1263"/>
    </row>
    <row r="63" spans="1:8">
      <c r="A63" s="1261"/>
      <c r="B63" s="1262"/>
      <c r="C63" s="1261"/>
      <c r="D63" s="1261"/>
      <c r="E63" s="1262"/>
      <c r="F63" s="1261"/>
      <c r="G63" s="1262"/>
      <c r="H63" s="1261"/>
    </row>
    <row r="64" spans="1:8">
      <c r="A64" s="1261"/>
      <c r="B64" s="1262"/>
      <c r="C64" s="1261"/>
      <c r="D64" s="1263"/>
      <c r="E64" s="1265"/>
      <c r="F64" s="1263"/>
      <c r="G64" s="1265"/>
      <c r="H64" s="1263"/>
    </row>
  </sheetData>
  <customSheetViews>
    <customSheetView guid="{FBB3E572-A647-4B8C-96C7-F43FE4F7CAA8}">
      <selection activeCell="A2" sqref="A2:H2"/>
      <pageMargins left="0.7" right="0.7" top="0.75" bottom="0.75" header="0.3" footer="0.3"/>
      <pageSetup paperSize="9" orientation="portrait" horizontalDpi="0" verticalDpi="0" r:id="rId1"/>
    </customSheetView>
    <customSheetView guid="{900EF7B2-0D63-4DE2-9CFC-2D2B3788802C}">
      <selection activeCell="J28" sqref="J28"/>
      <pageMargins left="0.7" right="0.7" top="0.75" bottom="0.75" header="0.3" footer="0.3"/>
      <pageSetup paperSize="9" orientation="portrait" horizontalDpi="0" verticalDpi="0" r:id="rId2"/>
    </customSheetView>
    <customSheetView guid="{CC6D6007-EFDE-464F-BD7C-A67043AC5D5C}">
      <selection activeCell="A23" sqref="A23"/>
      <pageMargins left="0.7" right="0.7" top="0.75" bottom="0.75" header="0.3" footer="0.3"/>
      <pageSetup paperSize="9" orientation="portrait" horizontalDpi="0" verticalDpi="0" r:id="rId3"/>
    </customSheetView>
    <customSheetView guid="{C0FE86CC-5BB4-4265-957F-F51B909B3E81}">
      <selection activeCell="A2" sqref="A2:H2"/>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34.xml><?xml version="1.0" encoding="utf-8"?>
<worksheet xmlns="http://schemas.openxmlformats.org/spreadsheetml/2006/main" xmlns:r="http://schemas.openxmlformats.org/officeDocument/2006/relationships">
  <dimension ref="A2:H48"/>
  <sheetViews>
    <sheetView workbookViewId="0">
      <selection activeCell="I21" sqref="I21"/>
    </sheetView>
  </sheetViews>
  <sheetFormatPr defaultRowHeight="15"/>
  <cols>
    <col min="1" max="1" width="37.5703125" customWidth="1"/>
    <col min="2" max="2" width="21.7109375" customWidth="1"/>
    <col min="3" max="3" width="15.85546875" customWidth="1"/>
    <col min="4" max="4" width="18.28515625" customWidth="1"/>
    <col min="5" max="5" width="16.42578125" customWidth="1"/>
  </cols>
  <sheetData>
    <row r="2" spans="1:8" ht="21">
      <c r="A2" s="1367" t="s">
        <v>1285</v>
      </c>
      <c r="B2" s="1366"/>
      <c r="C2" s="1366"/>
      <c r="D2" s="1366"/>
      <c r="E2" s="1366"/>
      <c r="F2" s="1366"/>
      <c r="G2" s="1366"/>
      <c r="H2" s="1366"/>
    </row>
    <row r="3" spans="1:8" ht="15.75">
      <c r="A3" s="1365" t="s">
        <v>1574</v>
      </c>
      <c r="B3" s="1364"/>
      <c r="C3" s="1364"/>
      <c r="D3" s="1364"/>
      <c r="E3" s="1364"/>
    </row>
    <row r="4" spans="1:8" ht="28.5" hidden="1">
      <c r="A4" s="1333"/>
      <c r="B4" s="1333"/>
      <c r="C4" s="1333"/>
      <c r="D4" s="1333"/>
      <c r="E4" s="1333"/>
    </row>
    <row r="5" spans="1:8">
      <c r="A5" s="1334" t="s">
        <v>1524</v>
      </c>
      <c r="B5" s="1334" t="s">
        <v>1525</v>
      </c>
      <c r="C5" s="1335" t="s">
        <v>1526</v>
      </c>
      <c r="D5" s="1336"/>
      <c r="E5" s="1334" t="s">
        <v>1527</v>
      </c>
    </row>
    <row r="6" spans="1:8">
      <c r="A6" s="1337" t="s">
        <v>1528</v>
      </c>
      <c r="B6" s="1338" t="s">
        <v>1529</v>
      </c>
      <c r="C6" s="1338" t="s">
        <v>21</v>
      </c>
      <c r="D6" s="1338" t="s">
        <v>1316</v>
      </c>
      <c r="E6" s="1338" t="s">
        <v>21</v>
      </c>
    </row>
    <row r="7" spans="1:8">
      <c r="A7" s="1339" t="s">
        <v>1530</v>
      </c>
      <c r="B7" s="1334" t="s">
        <v>1531</v>
      </c>
      <c r="C7" s="1334" t="s">
        <v>1532</v>
      </c>
      <c r="D7" s="1334">
        <v>0.96</v>
      </c>
      <c r="E7" s="1340">
        <v>498</v>
      </c>
    </row>
    <row r="8" spans="1:8">
      <c r="A8" s="1339" t="s">
        <v>1533</v>
      </c>
      <c r="B8" s="1334" t="s">
        <v>1531</v>
      </c>
      <c r="C8" s="1334" t="s">
        <v>1532</v>
      </c>
      <c r="D8" s="1334">
        <v>0.96</v>
      </c>
      <c r="E8" s="1340">
        <v>578</v>
      </c>
    </row>
    <row r="9" spans="1:8">
      <c r="A9" s="1341" t="s">
        <v>1534</v>
      </c>
      <c r="B9" s="1342"/>
      <c r="C9" s="1342"/>
      <c r="D9" s="1342"/>
      <c r="E9" s="1341"/>
    </row>
    <row r="10" spans="1:8">
      <c r="A10" s="1343" t="s">
        <v>1535</v>
      </c>
      <c r="B10" s="1344" t="s">
        <v>1536</v>
      </c>
      <c r="C10" s="1344" t="s">
        <v>1537</v>
      </c>
      <c r="D10" s="1344"/>
      <c r="E10" s="1345">
        <v>845</v>
      </c>
    </row>
    <row r="11" spans="1:8">
      <c r="A11" s="1346" t="s">
        <v>1538</v>
      </c>
      <c r="B11" s="1344" t="s">
        <v>1539</v>
      </c>
      <c r="C11" s="1344" t="s">
        <v>1537</v>
      </c>
      <c r="D11" s="1344"/>
      <c r="E11" s="1345">
        <v>767</v>
      </c>
    </row>
    <row r="12" spans="1:8">
      <c r="A12" s="1346" t="s">
        <v>1540</v>
      </c>
      <c r="B12" s="1344" t="s">
        <v>1536</v>
      </c>
      <c r="C12" s="1344" t="s">
        <v>1532</v>
      </c>
      <c r="D12" s="1344"/>
      <c r="E12" s="1345">
        <v>325</v>
      </c>
    </row>
    <row r="13" spans="1:8">
      <c r="A13" s="1346" t="s">
        <v>1541</v>
      </c>
      <c r="B13" s="1344" t="s">
        <v>1536</v>
      </c>
      <c r="C13" s="1344" t="s">
        <v>1537</v>
      </c>
      <c r="D13" s="1344"/>
      <c r="E13" s="1345">
        <v>767</v>
      </c>
    </row>
    <row r="14" spans="1:8">
      <c r="A14" s="1337" t="s">
        <v>1542</v>
      </c>
      <c r="B14" s="1338"/>
      <c r="C14" s="1338"/>
      <c r="D14" s="1338"/>
      <c r="E14" s="1338"/>
    </row>
    <row r="15" spans="1:8">
      <c r="A15" s="1339" t="s">
        <v>1474</v>
      </c>
      <c r="B15" s="1334" t="s">
        <v>1543</v>
      </c>
      <c r="C15" s="1334" t="s">
        <v>1532</v>
      </c>
      <c r="D15" s="1334"/>
      <c r="E15" s="1347">
        <v>238</v>
      </c>
    </row>
    <row r="16" spans="1:8" ht="45.75" customHeight="1">
      <c r="A16" s="1362" t="s">
        <v>1544</v>
      </c>
      <c r="B16" s="1348" t="s">
        <v>1543</v>
      </c>
      <c r="C16" s="1348" t="s">
        <v>1532</v>
      </c>
      <c r="D16" s="1348"/>
      <c r="E16" s="1349">
        <v>242</v>
      </c>
    </row>
    <row r="17" spans="1:5" ht="22.5" customHeight="1">
      <c r="A17" s="1363" t="s">
        <v>1474</v>
      </c>
      <c r="B17" s="1348" t="s">
        <v>1536</v>
      </c>
      <c r="C17" s="1348" t="s">
        <v>1532</v>
      </c>
      <c r="D17" s="1334"/>
      <c r="E17" s="1349">
        <v>185</v>
      </c>
    </row>
    <row r="18" spans="1:5" ht="49.5" customHeight="1">
      <c r="A18" s="1362" t="s">
        <v>1544</v>
      </c>
      <c r="B18" s="1348" t="s">
        <v>1536</v>
      </c>
      <c r="C18" s="1348" t="s">
        <v>1532</v>
      </c>
      <c r="D18" s="1348"/>
      <c r="E18" s="1349">
        <v>190</v>
      </c>
    </row>
    <row r="19" spans="1:5">
      <c r="A19" s="1337" t="s">
        <v>1545</v>
      </c>
      <c r="B19" s="1338"/>
      <c r="C19" s="1338"/>
      <c r="D19" s="1338"/>
      <c r="E19" s="1338"/>
    </row>
    <row r="20" spans="1:5">
      <c r="A20" s="1339" t="s">
        <v>1546</v>
      </c>
      <c r="B20" s="1334" t="s">
        <v>1543</v>
      </c>
      <c r="C20" s="1334" t="s">
        <v>1532</v>
      </c>
      <c r="D20" s="1334"/>
      <c r="E20" s="1340">
        <v>310</v>
      </c>
    </row>
    <row r="21" spans="1:5">
      <c r="A21" s="1350" t="s">
        <v>1547</v>
      </c>
      <c r="B21" s="1351"/>
      <c r="C21" s="1351"/>
      <c r="D21" s="1351"/>
      <c r="E21" s="1351"/>
    </row>
    <row r="22" spans="1:5">
      <c r="A22" s="1352" t="s">
        <v>1548</v>
      </c>
      <c r="B22" s="1353" t="s">
        <v>1536</v>
      </c>
      <c r="C22" s="1353" t="s">
        <v>1532</v>
      </c>
      <c r="D22" s="1353"/>
      <c r="E22" s="1354">
        <v>115</v>
      </c>
    </row>
    <row r="23" spans="1:5">
      <c r="A23" s="1352" t="s">
        <v>1549</v>
      </c>
      <c r="B23" s="1353" t="s">
        <v>1536</v>
      </c>
      <c r="C23" s="1353" t="s">
        <v>1537</v>
      </c>
      <c r="D23" s="1353"/>
      <c r="E23" s="1354">
        <v>495</v>
      </c>
    </row>
    <row r="24" spans="1:5">
      <c r="A24" s="1352" t="s">
        <v>1550</v>
      </c>
      <c r="B24" s="1353" t="s">
        <v>1536</v>
      </c>
      <c r="C24" s="1353" t="s">
        <v>1537</v>
      </c>
      <c r="D24" s="1353"/>
      <c r="E24" s="1354">
        <v>505</v>
      </c>
    </row>
    <row r="25" spans="1:5">
      <c r="A25" s="1352" t="s">
        <v>1551</v>
      </c>
      <c r="B25" s="1353" t="s">
        <v>1536</v>
      </c>
      <c r="C25" s="1353" t="s">
        <v>1537</v>
      </c>
      <c r="D25" s="1353"/>
      <c r="E25" s="1354">
        <v>425</v>
      </c>
    </row>
    <row r="26" spans="1:5">
      <c r="A26" s="1352" t="s">
        <v>1552</v>
      </c>
      <c r="B26" s="1353" t="s">
        <v>1536</v>
      </c>
      <c r="C26" s="1353" t="s">
        <v>1537</v>
      </c>
      <c r="D26" s="1353"/>
      <c r="E26" s="1354">
        <v>415</v>
      </c>
    </row>
    <row r="27" spans="1:5">
      <c r="A27" s="1352" t="s">
        <v>1553</v>
      </c>
      <c r="B27" s="1353" t="s">
        <v>1536</v>
      </c>
      <c r="C27" s="1353" t="s">
        <v>1537</v>
      </c>
      <c r="D27" s="1353"/>
      <c r="E27" s="1354">
        <v>165</v>
      </c>
    </row>
    <row r="28" spans="1:5">
      <c r="A28" s="1352" t="s">
        <v>1554</v>
      </c>
      <c r="B28" s="1353" t="s">
        <v>1536</v>
      </c>
      <c r="C28" s="1353" t="s">
        <v>1537</v>
      </c>
      <c r="D28" s="1353"/>
      <c r="E28" s="1354">
        <v>165</v>
      </c>
    </row>
    <row r="29" spans="1:5">
      <c r="A29" s="1352" t="s">
        <v>1555</v>
      </c>
      <c r="B29" s="1353" t="s">
        <v>1536</v>
      </c>
      <c r="C29" s="1353" t="s">
        <v>1532</v>
      </c>
      <c r="D29" s="1353"/>
      <c r="E29" s="1354">
        <v>165</v>
      </c>
    </row>
    <row r="30" spans="1:5">
      <c r="A30" s="1352" t="s">
        <v>1556</v>
      </c>
      <c r="B30" s="1353" t="s">
        <v>1536</v>
      </c>
      <c r="C30" s="1353" t="s">
        <v>1532</v>
      </c>
      <c r="D30" s="1353"/>
      <c r="E30" s="1354">
        <v>170</v>
      </c>
    </row>
    <row r="31" spans="1:5">
      <c r="A31" s="1352" t="s">
        <v>1557</v>
      </c>
      <c r="B31" s="1353" t="s">
        <v>1536</v>
      </c>
      <c r="C31" s="1353" t="s">
        <v>1537</v>
      </c>
      <c r="D31" s="1353"/>
      <c r="E31" s="1354">
        <v>465</v>
      </c>
    </row>
    <row r="32" spans="1:5">
      <c r="A32" s="1352" t="s">
        <v>1558</v>
      </c>
      <c r="B32" s="1353" t="s">
        <v>1536</v>
      </c>
      <c r="C32" s="1353" t="s">
        <v>1537</v>
      </c>
      <c r="D32" s="1353"/>
      <c r="E32" s="1354">
        <v>460</v>
      </c>
    </row>
    <row r="33" spans="1:5">
      <c r="A33" s="1352" t="s">
        <v>1559</v>
      </c>
      <c r="B33" s="1353" t="s">
        <v>1536</v>
      </c>
      <c r="C33" s="1353" t="s">
        <v>1537</v>
      </c>
      <c r="D33" s="1353"/>
      <c r="E33" s="1354">
        <v>470</v>
      </c>
    </row>
    <row r="34" spans="1:5">
      <c r="A34" s="1352" t="s">
        <v>1560</v>
      </c>
      <c r="B34" s="1353" t="s">
        <v>1536</v>
      </c>
      <c r="C34" s="1353" t="s">
        <v>1537</v>
      </c>
      <c r="D34" s="1353"/>
      <c r="E34" s="1354">
        <v>478</v>
      </c>
    </row>
    <row r="35" spans="1:5">
      <c r="A35" s="1352" t="s">
        <v>1561</v>
      </c>
      <c r="B35" s="1353" t="s">
        <v>1536</v>
      </c>
      <c r="C35" s="1353" t="s">
        <v>1537</v>
      </c>
      <c r="D35" s="1353"/>
      <c r="E35" s="1354">
        <v>460</v>
      </c>
    </row>
    <row r="36" spans="1:5">
      <c r="A36" s="1352" t="s">
        <v>1562</v>
      </c>
      <c r="B36" s="1353" t="s">
        <v>1536</v>
      </c>
      <c r="C36" s="1353" t="s">
        <v>1537</v>
      </c>
      <c r="D36" s="1353"/>
      <c r="E36" s="1354">
        <v>480</v>
      </c>
    </row>
    <row r="37" spans="1:5">
      <c r="A37" s="1337" t="s">
        <v>1563</v>
      </c>
      <c r="B37" s="1355"/>
      <c r="C37" s="1355"/>
      <c r="D37" s="1355"/>
      <c r="E37" s="1355"/>
    </row>
    <row r="38" spans="1:5">
      <c r="A38" s="1339" t="s">
        <v>1564</v>
      </c>
      <c r="B38" s="1334" t="s">
        <v>1543</v>
      </c>
      <c r="C38" s="1334" t="s">
        <v>1532</v>
      </c>
      <c r="D38" s="1334"/>
      <c r="E38" s="1340">
        <v>360</v>
      </c>
    </row>
    <row r="39" spans="1:5">
      <c r="A39" s="1356" t="s">
        <v>1565</v>
      </c>
      <c r="B39" s="1340" t="s">
        <v>1566</v>
      </c>
      <c r="C39" s="1340" t="s">
        <v>1532</v>
      </c>
      <c r="D39" s="1340"/>
      <c r="E39" s="1340">
        <v>444</v>
      </c>
    </row>
    <row r="40" spans="1:5">
      <c r="A40" s="1337" t="s">
        <v>1567</v>
      </c>
      <c r="B40" s="1340"/>
      <c r="C40" s="1340"/>
      <c r="D40" s="1340"/>
      <c r="E40" s="1338"/>
    </row>
    <row r="41" spans="1:5">
      <c r="A41" s="1356" t="s">
        <v>1568</v>
      </c>
      <c r="B41" s="1334" t="s">
        <v>1543</v>
      </c>
      <c r="C41" s="1334" t="s">
        <v>1532</v>
      </c>
      <c r="D41" s="1340"/>
      <c r="E41" s="1340">
        <v>495</v>
      </c>
    </row>
    <row r="42" spans="1:5">
      <c r="A42" s="1356" t="s">
        <v>1569</v>
      </c>
      <c r="B42" s="1340" t="s">
        <v>1566</v>
      </c>
      <c r="C42" s="1340" t="s">
        <v>1532</v>
      </c>
      <c r="D42" s="1340"/>
      <c r="E42" s="1340">
        <v>430</v>
      </c>
    </row>
    <row r="43" spans="1:5">
      <c r="A43" s="1350" t="s">
        <v>1570</v>
      </c>
      <c r="B43" s="1357"/>
      <c r="C43" s="1357"/>
      <c r="D43" s="1357"/>
      <c r="E43" s="1357"/>
    </row>
    <row r="44" spans="1:5">
      <c r="A44" s="1352" t="s">
        <v>1571</v>
      </c>
      <c r="B44" s="1358" t="s">
        <v>1536</v>
      </c>
      <c r="C44" s="1358" t="s">
        <v>1537</v>
      </c>
      <c r="D44" s="1358"/>
      <c r="E44" s="1359">
        <v>836</v>
      </c>
    </row>
    <row r="45" spans="1:5">
      <c r="A45" s="1360" t="s">
        <v>1538</v>
      </c>
      <c r="B45" s="1358" t="s">
        <v>1536</v>
      </c>
      <c r="C45" s="1358" t="s">
        <v>1537</v>
      </c>
      <c r="D45" s="1358"/>
      <c r="E45" s="1359">
        <v>750</v>
      </c>
    </row>
    <row r="46" spans="1:5">
      <c r="A46" s="1361" t="s">
        <v>1572</v>
      </c>
      <c r="B46" s="1358" t="s">
        <v>1536</v>
      </c>
      <c r="C46" s="1358" t="s">
        <v>1537</v>
      </c>
      <c r="D46" s="1358"/>
      <c r="E46" s="1359">
        <v>300</v>
      </c>
    </row>
    <row r="47" spans="1:5">
      <c r="A47" s="1361" t="s">
        <v>1540</v>
      </c>
      <c r="B47" s="1358" t="s">
        <v>1536</v>
      </c>
      <c r="C47" s="1358" t="s">
        <v>1537</v>
      </c>
      <c r="D47" s="1358"/>
      <c r="E47" s="1359">
        <v>325</v>
      </c>
    </row>
    <row r="48" spans="1:5">
      <c r="A48" s="1361" t="s">
        <v>1573</v>
      </c>
      <c r="B48" s="1358" t="s">
        <v>1536</v>
      </c>
      <c r="C48" s="1358" t="s">
        <v>1537</v>
      </c>
      <c r="D48" s="1358"/>
      <c r="E48" s="1359">
        <v>750</v>
      </c>
    </row>
  </sheetData>
  <customSheetViews>
    <customSheetView guid="{FBB3E572-A647-4B8C-96C7-F43FE4F7CAA8}" hiddenRows="1">
      <selection activeCell="I21" sqref="I21"/>
      <pageMargins left="0.7" right="0.7" top="0.75" bottom="0.75" header="0.3" footer="0.3"/>
    </customSheetView>
    <customSheetView guid="{900EF7B2-0D63-4DE2-9CFC-2D2B3788802C}" hiddenRows="1">
      <selection activeCell="L37" sqref="L37"/>
      <pageMargins left="0.7" right="0.7" top="0.75" bottom="0.75" header="0.3" footer="0.3"/>
    </customSheetView>
    <customSheetView guid="{CC6D6007-EFDE-464F-BD7C-A67043AC5D5C}" hiddenRows="1">
      <selection activeCell="A17" sqref="A17"/>
      <pageMargins left="0.7" right="0.7" top="0.75" bottom="0.75" header="0.3" footer="0.3"/>
    </customSheetView>
    <customSheetView guid="{C0FE86CC-5BB4-4265-957F-F51B909B3E81}" hiddenRows="1">
      <selection activeCell="I21" sqref="I21"/>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4:J24"/>
  <sheetViews>
    <sheetView workbookViewId="0">
      <selection activeCell="M8" sqref="M8"/>
    </sheetView>
  </sheetViews>
  <sheetFormatPr defaultRowHeight="15"/>
  <cols>
    <col min="1" max="1" width="19.140625" customWidth="1"/>
    <col min="2" max="2" width="19.7109375" customWidth="1"/>
    <col min="5" max="5" width="21.140625" customWidth="1"/>
    <col min="6" max="6" width="17.42578125" customWidth="1"/>
  </cols>
  <sheetData>
    <row r="4" spans="1:10" ht="16.5">
      <c r="A4" s="1368" t="s">
        <v>1575</v>
      </c>
      <c r="B4" s="1368"/>
      <c r="C4" s="1368"/>
      <c r="D4" s="1368"/>
      <c r="E4" s="1368"/>
      <c r="F4" s="1368"/>
      <c r="G4" s="1368"/>
      <c r="H4" s="1368"/>
      <c r="I4" s="1368"/>
      <c r="J4" s="1368"/>
    </row>
    <row r="5" spans="1:10">
      <c r="A5" s="1369" t="s">
        <v>1576</v>
      </c>
      <c r="B5" s="1369"/>
      <c r="C5" s="1369"/>
      <c r="D5" s="1369"/>
      <c r="E5" s="1369"/>
      <c r="F5" s="1369"/>
      <c r="G5" s="1369"/>
      <c r="H5" s="1369"/>
      <c r="I5" s="1369"/>
      <c r="J5" s="1370"/>
    </row>
    <row r="6" spans="1:10">
      <c r="A6" s="1369" t="s">
        <v>1577</v>
      </c>
      <c r="B6" s="1369" t="s">
        <v>1578</v>
      </c>
      <c r="C6" s="1369"/>
      <c r="D6" s="1369"/>
      <c r="E6" s="1369" t="s">
        <v>1579</v>
      </c>
      <c r="F6" s="1369" t="s">
        <v>1580</v>
      </c>
      <c r="G6" s="1369"/>
      <c r="H6" s="1369"/>
      <c r="I6" s="1369"/>
      <c r="J6" s="1370"/>
    </row>
    <row r="7" spans="1:10" ht="51">
      <c r="A7" s="1371" t="s">
        <v>1581</v>
      </c>
      <c r="B7" s="1372" t="s">
        <v>1582</v>
      </c>
      <c r="C7" s="1372"/>
      <c r="D7" s="1372"/>
      <c r="E7" s="1373" t="s">
        <v>1583</v>
      </c>
      <c r="F7" s="1374">
        <v>410</v>
      </c>
      <c r="G7" s="1375"/>
      <c r="H7" s="1375"/>
      <c r="I7" s="1376"/>
      <c r="J7" s="1370"/>
    </row>
    <row r="8" spans="1:10" ht="25.5">
      <c r="A8" s="1377"/>
      <c r="B8" s="1372"/>
      <c r="C8" s="1372"/>
      <c r="D8" s="1372"/>
      <c r="E8" s="1378"/>
      <c r="F8" s="1379"/>
      <c r="G8" s="1380"/>
      <c r="H8" s="1380"/>
      <c r="I8" s="1381"/>
      <c r="J8" s="1370"/>
    </row>
    <row r="9" spans="1:10" ht="51">
      <c r="A9" s="1382"/>
      <c r="B9" s="1383" t="s">
        <v>1584</v>
      </c>
      <c r="C9" s="1384"/>
      <c r="D9" s="1385"/>
      <c r="E9" s="1386" t="s">
        <v>1585</v>
      </c>
      <c r="F9" s="1387">
        <v>390</v>
      </c>
      <c r="G9" s="1388"/>
      <c r="H9" s="1388"/>
      <c r="I9" s="1389"/>
      <c r="J9" s="1370"/>
    </row>
    <row r="10" spans="1:10" ht="51">
      <c r="A10" s="1390" t="s">
        <v>1586</v>
      </c>
      <c r="B10" s="1391" t="s">
        <v>1587</v>
      </c>
      <c r="C10" s="1392"/>
      <c r="D10" s="1392"/>
      <c r="E10" s="1393" t="s">
        <v>1588</v>
      </c>
      <c r="F10" s="1394">
        <v>345</v>
      </c>
      <c r="G10" s="1395"/>
      <c r="H10" s="1395"/>
      <c r="I10" s="1396"/>
      <c r="J10" s="1370"/>
    </row>
    <row r="11" spans="1:10" ht="51">
      <c r="A11" s="1390" t="s">
        <v>1589</v>
      </c>
      <c r="B11" s="1391" t="s">
        <v>1590</v>
      </c>
      <c r="C11" s="1392"/>
      <c r="D11" s="1392"/>
      <c r="E11" s="1393" t="s">
        <v>1591</v>
      </c>
      <c r="F11" s="1394">
        <v>380</v>
      </c>
      <c r="G11" s="1397"/>
      <c r="H11" s="1397"/>
      <c r="I11" s="1398"/>
      <c r="J11" s="1370"/>
    </row>
    <row r="12" spans="1:10" ht="51">
      <c r="A12" s="1399" t="s">
        <v>1592</v>
      </c>
      <c r="B12" s="1400" t="s">
        <v>1593</v>
      </c>
      <c r="C12" s="1401"/>
      <c r="D12" s="1402"/>
      <c r="E12" s="1393" t="s">
        <v>1594</v>
      </c>
      <c r="F12" s="1403" t="s">
        <v>1595</v>
      </c>
      <c r="G12" s="1404"/>
      <c r="H12" s="1404"/>
      <c r="I12" s="1405"/>
      <c r="J12" s="1370"/>
    </row>
    <row r="13" spans="1:10" ht="67.5">
      <c r="A13" s="1406" t="s">
        <v>1596</v>
      </c>
      <c r="B13" s="1406"/>
      <c r="C13" s="1406"/>
      <c r="D13" s="1407" t="s">
        <v>1597</v>
      </c>
      <c r="E13" s="1407"/>
      <c r="F13" s="1408" t="s">
        <v>1598</v>
      </c>
      <c r="G13" s="1408"/>
      <c r="H13" s="1408"/>
      <c r="I13" s="1408"/>
      <c r="J13" s="1370"/>
    </row>
    <row r="14" spans="1:10">
      <c r="A14" s="1370"/>
      <c r="B14" s="1370"/>
      <c r="C14" s="1370"/>
      <c r="D14" s="1370"/>
      <c r="E14" s="1370"/>
      <c r="F14" s="1370"/>
      <c r="G14" s="1370"/>
      <c r="H14" s="1370"/>
      <c r="I14" s="1370"/>
      <c r="J14" s="1370"/>
    </row>
    <row r="15" spans="1:10">
      <c r="A15" s="1370"/>
      <c r="B15" s="1370"/>
      <c r="C15" s="1370"/>
      <c r="D15" s="1370"/>
      <c r="E15" s="1370"/>
      <c r="F15" s="1370"/>
      <c r="G15" s="1370"/>
      <c r="H15" s="1370"/>
      <c r="I15" s="1370"/>
      <c r="J15" s="1370"/>
    </row>
    <row r="16" spans="1:10" ht="33.75">
      <c r="A16" s="1409" t="s">
        <v>781</v>
      </c>
      <c r="B16" s="1409" t="s">
        <v>1456</v>
      </c>
      <c r="C16" s="1409" t="s">
        <v>1599</v>
      </c>
      <c r="D16" s="1409" t="s">
        <v>1457</v>
      </c>
      <c r="E16" s="1410" t="s">
        <v>1459</v>
      </c>
      <c r="F16" s="1410"/>
      <c r="G16" s="1410"/>
      <c r="H16" s="1410"/>
      <c r="I16" s="1410"/>
      <c r="J16" s="1370"/>
    </row>
    <row r="17" spans="1:10" ht="22.5">
      <c r="A17" s="1411"/>
      <c r="B17" s="1411"/>
      <c r="C17" s="1411"/>
      <c r="D17" s="1411"/>
      <c r="E17" s="1412" t="s">
        <v>1474</v>
      </c>
      <c r="F17" s="1412" t="s">
        <v>1600</v>
      </c>
      <c r="G17" s="1412" t="s">
        <v>1601</v>
      </c>
      <c r="H17" s="1412" t="s">
        <v>1602</v>
      </c>
      <c r="I17" s="1412" t="s">
        <v>1603</v>
      </c>
      <c r="J17" s="1370"/>
    </row>
    <row r="18" spans="1:10" ht="38.25">
      <c r="A18" s="1413" t="s">
        <v>1604</v>
      </c>
      <c r="B18" s="1413"/>
      <c r="C18" s="1413"/>
      <c r="D18" s="1413"/>
      <c r="E18" s="1413"/>
      <c r="F18" s="1413"/>
      <c r="G18" s="1413"/>
      <c r="H18" s="1413"/>
      <c r="I18" s="1413"/>
      <c r="J18" s="1370"/>
    </row>
    <row r="19" spans="1:10" ht="51">
      <c r="A19" s="1414" t="s">
        <v>1605</v>
      </c>
      <c r="B19" s="1415"/>
      <c r="C19" s="1416">
        <v>3</v>
      </c>
      <c r="D19" s="1417">
        <v>10</v>
      </c>
      <c r="E19" s="1418">
        <v>267</v>
      </c>
      <c r="F19" s="1419">
        <v>267</v>
      </c>
      <c r="G19" s="1418">
        <v>267</v>
      </c>
      <c r="H19" s="1419">
        <v>413</v>
      </c>
      <c r="I19" s="1419">
        <v>590</v>
      </c>
      <c r="J19" s="1370"/>
    </row>
    <row r="20" spans="1:10" ht="38.25">
      <c r="A20" s="1414" t="s">
        <v>1606</v>
      </c>
      <c r="B20" s="1415"/>
      <c r="C20" s="1416">
        <v>3</v>
      </c>
      <c r="D20" s="1417">
        <v>10</v>
      </c>
      <c r="E20" s="1418">
        <v>642</v>
      </c>
      <c r="F20" s="1420"/>
      <c r="G20" s="1420"/>
      <c r="H20" s="1420"/>
      <c r="I20" s="1419">
        <v>1125</v>
      </c>
      <c r="J20" s="1370"/>
    </row>
    <row r="21" spans="1:10" ht="38.25">
      <c r="A21" s="1414" t="s">
        <v>1607</v>
      </c>
      <c r="B21" s="1415"/>
      <c r="C21" s="1416">
        <v>3</v>
      </c>
      <c r="D21" s="1417">
        <v>6</v>
      </c>
      <c r="E21" s="1418">
        <v>407</v>
      </c>
      <c r="F21" s="1419">
        <v>407</v>
      </c>
      <c r="G21" s="1418">
        <v>407</v>
      </c>
      <c r="H21" s="1419">
        <v>452</v>
      </c>
      <c r="I21" s="1419">
        <v>649</v>
      </c>
      <c r="J21" s="1370"/>
    </row>
    <row r="22" spans="1:10" ht="38.25">
      <c r="A22" s="1414" t="s">
        <v>1608</v>
      </c>
      <c r="B22" s="1421"/>
      <c r="C22" s="1416">
        <v>3</v>
      </c>
      <c r="D22" s="1417">
        <v>45</v>
      </c>
      <c r="E22" s="1418">
        <v>157</v>
      </c>
      <c r="F22" s="1419">
        <v>157</v>
      </c>
      <c r="G22" s="1418">
        <v>157</v>
      </c>
      <c r="H22" s="1419">
        <v>216</v>
      </c>
      <c r="I22" s="1419">
        <v>310</v>
      </c>
      <c r="J22" s="1370"/>
    </row>
    <row r="23" spans="1:10">
      <c r="A23" s="1414"/>
      <c r="B23" s="1421"/>
      <c r="C23" s="1416"/>
      <c r="D23" s="1417"/>
      <c r="E23" s="1419"/>
      <c r="F23" s="1419"/>
      <c r="G23" s="1419"/>
      <c r="H23" s="1419"/>
      <c r="I23" s="1419"/>
      <c r="J23" s="1370"/>
    </row>
    <row r="24" spans="1:10" ht="25.5">
      <c r="A24" s="1422" t="s">
        <v>1609</v>
      </c>
      <c r="B24" s="1391"/>
      <c r="C24" s="1391">
        <v>3</v>
      </c>
      <c r="D24" s="1391">
        <v>6</v>
      </c>
      <c r="E24" s="1423">
        <v>407</v>
      </c>
      <c r="F24" s="1424" t="s">
        <v>1513</v>
      </c>
      <c r="G24" s="1424" t="s">
        <v>1513</v>
      </c>
      <c r="H24" s="1423">
        <v>452</v>
      </c>
      <c r="I24" s="1423">
        <v>649</v>
      </c>
      <c r="J24" s="1370"/>
    </row>
  </sheetData>
  <customSheetViews>
    <customSheetView guid="{FBB3E572-A647-4B8C-96C7-F43FE4F7CAA8}" state="hidden">
      <selection activeCell="M8" sqref="M8"/>
      <pageMargins left="0.7" right="0.7" top="0.75" bottom="0.75" header="0.3" footer="0.3"/>
    </customSheetView>
    <customSheetView guid="{900EF7B2-0D63-4DE2-9CFC-2D2B3788802C}" state="hidden">
      <selection activeCell="M8" sqref="M8"/>
      <pageMargins left="0.7" right="0.7" top="0.75" bottom="0.75" header="0.3" footer="0.3"/>
    </customSheetView>
    <customSheetView guid="{CC6D6007-EFDE-464F-BD7C-A67043AC5D5C}" state="hidden">
      <selection activeCell="M8" sqref="M8"/>
      <pageMargins left="0.7" right="0.7" top="0.75" bottom="0.75" header="0.3" footer="0.3"/>
    </customSheetView>
    <customSheetView guid="{C0FE86CC-5BB4-4265-957F-F51B909B3E81}" state="hidden">
      <selection activeCell="M8" sqref="M8"/>
      <pageMargins left="0.7" right="0.7" top="0.75" bottom="0.75" header="0.3" footer="0.3"/>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I53"/>
  <sheetViews>
    <sheetView workbookViewId="0">
      <selection activeCell="J13" sqref="J13"/>
    </sheetView>
  </sheetViews>
  <sheetFormatPr defaultRowHeight="15"/>
  <cols>
    <col min="1" max="1" width="78.140625" customWidth="1"/>
    <col min="2" max="2" width="12" customWidth="1"/>
    <col min="3" max="3" width="9.140625" customWidth="1"/>
    <col min="4" max="4" width="13.5703125" customWidth="1"/>
    <col min="5" max="5" width="16.140625" customWidth="1"/>
    <col min="6" max="6" width="11.28515625" customWidth="1"/>
    <col min="7" max="7" width="0.28515625" hidden="1" customWidth="1"/>
    <col min="8" max="8" width="9.140625" hidden="1" customWidth="1"/>
  </cols>
  <sheetData>
    <row r="1" spans="1:9" ht="27" thickBot="1">
      <c r="A1" s="1454" t="s">
        <v>1711</v>
      </c>
      <c r="B1" s="1455"/>
      <c r="C1" s="1455"/>
      <c r="D1" s="1455"/>
      <c r="E1" s="1455"/>
      <c r="F1" s="1456"/>
      <c r="G1" s="983"/>
      <c r="H1" s="983"/>
      <c r="I1" s="1457"/>
    </row>
    <row r="2" spans="1:9" ht="25.5">
      <c r="A2" s="1425" t="s">
        <v>1613</v>
      </c>
      <c r="B2" s="1024"/>
      <c r="C2" s="1033"/>
      <c r="D2" s="1426"/>
      <c r="E2" s="1446"/>
      <c r="F2" s="1426" t="s">
        <v>1710</v>
      </c>
    </row>
    <row r="3" spans="1:9" ht="3" customHeight="1">
      <c r="A3" s="1032"/>
      <c r="B3" s="1032"/>
      <c r="C3" s="1033"/>
      <c r="D3" s="1033"/>
      <c r="E3" s="1033"/>
      <c r="F3" s="1033"/>
    </row>
    <row r="4" spans="1:9" ht="16.5" hidden="1">
      <c r="A4" s="1427"/>
      <c r="B4" s="1427"/>
      <c r="C4" s="1033"/>
      <c r="D4" s="1428"/>
      <c r="E4" s="1429"/>
      <c r="F4" s="1430"/>
    </row>
    <row r="5" spans="1:9" ht="60.75" customHeight="1">
      <c r="A5" s="1431" t="s">
        <v>781</v>
      </c>
      <c r="B5" s="1432" t="s">
        <v>1286</v>
      </c>
      <c r="C5" s="1433"/>
      <c r="D5" s="1434" t="s">
        <v>1614</v>
      </c>
      <c r="E5" s="1434" t="s">
        <v>1288</v>
      </c>
      <c r="F5" s="1435" t="s">
        <v>1615</v>
      </c>
    </row>
    <row r="6" spans="1:9" ht="16.5">
      <c r="A6" s="1013"/>
      <c r="B6" s="1013"/>
      <c r="C6" s="1014"/>
      <c r="D6" s="1014"/>
      <c r="E6" s="1014"/>
      <c r="F6" s="1014"/>
    </row>
    <row r="7" spans="1:9" ht="17.25" thickBot="1">
      <c r="A7" s="1436" t="s">
        <v>1291</v>
      </c>
      <c r="B7" s="1437" t="s">
        <v>1292</v>
      </c>
      <c r="C7" s="1020"/>
      <c r="D7" s="1438"/>
      <c r="E7" s="1438"/>
      <c r="F7" s="1439"/>
    </row>
    <row r="8" spans="1:9" ht="17.25" thickTop="1">
      <c r="A8" s="1025" t="s">
        <v>1616</v>
      </c>
      <c r="B8" s="1122">
        <v>3</v>
      </c>
      <c r="C8" s="1440"/>
      <c r="D8" s="1029">
        <v>746.62</v>
      </c>
      <c r="E8" s="1029">
        <v>817.72</v>
      </c>
      <c r="F8" s="1102">
        <v>888.83</v>
      </c>
    </row>
    <row r="9" spans="1:9" ht="16.5">
      <c r="A9" s="1025" t="s">
        <v>1617</v>
      </c>
      <c r="B9" s="1123">
        <v>3</v>
      </c>
      <c r="C9" s="1440"/>
      <c r="D9" s="1029">
        <v>746.62</v>
      </c>
      <c r="E9" s="1029">
        <v>817.72</v>
      </c>
      <c r="F9" s="1102">
        <v>888.83</v>
      </c>
    </row>
    <row r="10" spans="1:9" ht="16.5">
      <c r="A10" s="1025" t="s">
        <v>1618</v>
      </c>
      <c r="B10" s="1123">
        <v>3.1</v>
      </c>
      <c r="C10" s="1440"/>
      <c r="D10" s="1029">
        <v>887.24</v>
      </c>
      <c r="E10" s="1029">
        <v>971.74</v>
      </c>
      <c r="F10" s="1102">
        <v>1056.24</v>
      </c>
    </row>
    <row r="11" spans="1:9" ht="16.5">
      <c r="A11" s="1025" t="s">
        <v>1619</v>
      </c>
      <c r="B11" s="1123">
        <v>3.1</v>
      </c>
      <c r="C11" s="1440"/>
      <c r="D11" s="1029">
        <v>964.37</v>
      </c>
      <c r="E11" s="1029">
        <v>1056.22</v>
      </c>
      <c r="F11" s="1102">
        <v>1148.06</v>
      </c>
    </row>
    <row r="12" spans="1:9" ht="16.5">
      <c r="A12" s="1033"/>
      <c r="B12" s="1033"/>
      <c r="C12" s="1045"/>
      <c r="D12" s="1441"/>
      <c r="E12" s="1441"/>
      <c r="F12" s="1441"/>
    </row>
    <row r="13" spans="1:9" ht="17.25" thickBot="1">
      <c r="A13" s="1436" t="s">
        <v>1296</v>
      </c>
      <c r="B13" s="1437" t="s">
        <v>1292</v>
      </c>
      <c r="C13" s="1020"/>
      <c r="D13" s="1438"/>
      <c r="E13" s="1438"/>
      <c r="F13" s="1439"/>
    </row>
    <row r="14" spans="1:9" ht="17.25" thickTop="1">
      <c r="A14" s="1025" t="s">
        <v>1620</v>
      </c>
      <c r="B14" s="1122">
        <v>3</v>
      </c>
      <c r="C14" s="1440"/>
      <c r="D14" s="1029">
        <v>953.59</v>
      </c>
      <c r="E14" s="1029">
        <v>1046.8</v>
      </c>
      <c r="F14" s="1102">
        <v>1163.1099999999999</v>
      </c>
    </row>
    <row r="15" spans="1:9" ht="16.5">
      <c r="A15" s="1035" t="s">
        <v>1621</v>
      </c>
      <c r="B15" s="1123">
        <v>3</v>
      </c>
      <c r="C15" s="1440"/>
      <c r="D15" s="1029">
        <v>982.37</v>
      </c>
      <c r="E15" s="1029">
        <v>1078.21</v>
      </c>
      <c r="F15" s="1102">
        <v>1198.01</v>
      </c>
    </row>
    <row r="16" spans="1:9" ht="16.5">
      <c r="A16" s="1035" t="s">
        <v>1622</v>
      </c>
      <c r="B16" s="1123">
        <v>3.1</v>
      </c>
      <c r="C16" s="1440"/>
      <c r="D16" s="1029">
        <v>1133.3499999999999</v>
      </c>
      <c r="E16" s="1029">
        <v>1243.93</v>
      </c>
      <c r="F16" s="1102">
        <v>1382.14</v>
      </c>
    </row>
    <row r="17" spans="1:6" ht="16.5">
      <c r="A17" s="1035" t="s">
        <v>1623</v>
      </c>
      <c r="B17" s="1123">
        <v>3.1</v>
      </c>
      <c r="C17" s="1440"/>
      <c r="D17" s="1029">
        <v>1231.94</v>
      </c>
      <c r="E17" s="1029">
        <v>1352.13</v>
      </c>
      <c r="F17" s="1102">
        <v>1502.37</v>
      </c>
    </row>
    <row r="18" spans="1:6" ht="16.5">
      <c r="A18" s="1036" t="s">
        <v>1624</v>
      </c>
      <c r="B18" s="1442">
        <v>11</v>
      </c>
      <c r="C18" s="1440"/>
      <c r="D18" s="1040">
        <v>2411.5100000000002</v>
      </c>
      <c r="E18" s="1040">
        <v>2646.78</v>
      </c>
      <c r="F18" s="1443">
        <v>2940.86</v>
      </c>
    </row>
    <row r="19" spans="1:6" ht="16.5">
      <c r="A19" s="1033"/>
      <c r="B19" s="1033"/>
      <c r="C19" s="1045"/>
      <c r="D19" s="1441"/>
      <c r="E19" s="1441"/>
      <c r="F19" s="1441"/>
    </row>
    <row r="20" spans="1:6" ht="17.25" thickBot="1">
      <c r="A20" s="1436" t="s">
        <v>1302</v>
      </c>
      <c r="B20" s="1437" t="str">
        <f>B7</f>
        <v>кв.м./ п.м.</v>
      </c>
      <c r="C20" s="1020"/>
      <c r="D20" s="1438"/>
      <c r="E20" s="1438"/>
      <c r="F20" s="1439"/>
    </row>
    <row r="21" spans="1:6" ht="17.25" thickTop="1">
      <c r="A21" s="1044" t="s">
        <v>1625</v>
      </c>
      <c r="B21" s="1123">
        <v>2.9</v>
      </c>
      <c r="C21" s="1440"/>
      <c r="D21" s="1029" t="s">
        <v>1626</v>
      </c>
      <c r="E21" s="1029" t="s">
        <v>1627</v>
      </c>
      <c r="F21" s="1102" t="s">
        <v>1628</v>
      </c>
    </row>
    <row r="22" spans="1:6" ht="16.5">
      <c r="A22" s="1035" t="s">
        <v>1629</v>
      </c>
      <c r="B22" s="1123">
        <v>3</v>
      </c>
      <c r="C22" s="1440"/>
      <c r="D22" s="1029" t="s">
        <v>1630</v>
      </c>
      <c r="E22" s="1029" t="s">
        <v>1631</v>
      </c>
      <c r="F22" s="1102" t="s">
        <v>1632</v>
      </c>
    </row>
    <row r="23" spans="1:6" ht="16.5">
      <c r="A23" s="1035" t="s">
        <v>1633</v>
      </c>
      <c r="B23" s="1123">
        <v>3</v>
      </c>
      <c r="C23" s="1440"/>
      <c r="D23" s="1029" t="s">
        <v>1634</v>
      </c>
      <c r="E23" s="1029" t="s">
        <v>1635</v>
      </c>
      <c r="F23" s="1102" t="s">
        <v>1636</v>
      </c>
    </row>
    <row r="24" spans="1:6" ht="16.5">
      <c r="A24" s="1044" t="s">
        <v>1637</v>
      </c>
      <c r="B24" s="1123">
        <v>3</v>
      </c>
      <c r="C24" s="1440"/>
      <c r="D24" s="1029" t="s">
        <v>1634</v>
      </c>
      <c r="E24" s="1029" t="s">
        <v>1635</v>
      </c>
      <c r="F24" s="1102" t="s">
        <v>1636</v>
      </c>
    </row>
    <row r="25" spans="1:6" ht="16.5">
      <c r="A25" s="1044" t="s">
        <v>1638</v>
      </c>
      <c r="B25" s="1123">
        <v>3</v>
      </c>
      <c r="C25" s="1440"/>
      <c r="D25" s="1029" t="s">
        <v>1634</v>
      </c>
      <c r="E25" s="1029" t="s">
        <v>1635</v>
      </c>
      <c r="F25" s="1102" t="s">
        <v>1636</v>
      </c>
    </row>
    <row r="26" spans="1:6" ht="16.5">
      <c r="A26" s="1044" t="s">
        <v>1639</v>
      </c>
      <c r="B26" s="1123">
        <v>3.1</v>
      </c>
      <c r="C26" s="1440"/>
      <c r="D26" s="1029" t="s">
        <v>1640</v>
      </c>
      <c r="E26" s="1029" t="s">
        <v>1641</v>
      </c>
      <c r="F26" s="1102" t="s">
        <v>1642</v>
      </c>
    </row>
    <row r="27" spans="1:6" ht="16.5">
      <c r="A27" s="1044" t="s">
        <v>1643</v>
      </c>
      <c r="B27" s="1123">
        <v>3.1</v>
      </c>
      <c r="C27" s="1444"/>
      <c r="D27" s="1029" t="s">
        <v>1644</v>
      </c>
      <c r="E27" s="1029" t="s">
        <v>1645</v>
      </c>
      <c r="F27" s="1102" t="s">
        <v>1646</v>
      </c>
    </row>
    <row r="28" spans="1:6" ht="16.5">
      <c r="A28" s="1044" t="s">
        <v>1647</v>
      </c>
      <c r="B28" s="1123">
        <v>3.1</v>
      </c>
      <c r="C28" s="1440"/>
      <c r="D28" s="1029" t="s">
        <v>1648</v>
      </c>
      <c r="E28" s="1029" t="s">
        <v>1649</v>
      </c>
      <c r="F28" s="1102" t="s">
        <v>1650</v>
      </c>
    </row>
    <row r="29" spans="1:6" ht="16.5">
      <c r="A29" s="1046" t="s">
        <v>1651</v>
      </c>
      <c r="B29" s="1132">
        <v>2.4</v>
      </c>
      <c r="C29" s="1440"/>
      <c r="D29" s="1029" t="s">
        <v>1652</v>
      </c>
      <c r="E29" s="1029" t="s">
        <v>1653</v>
      </c>
      <c r="F29" s="1102" t="s">
        <v>1654</v>
      </c>
    </row>
    <row r="30" spans="1:6" ht="16.5">
      <c r="A30" s="1048" t="s">
        <v>1655</v>
      </c>
      <c r="B30" s="1445">
        <v>11</v>
      </c>
      <c r="C30" s="1440"/>
      <c r="D30" s="1029" t="s">
        <v>1656</v>
      </c>
      <c r="E30" s="1040" t="s">
        <v>1657</v>
      </c>
      <c r="F30" s="1443" t="s">
        <v>1658</v>
      </c>
    </row>
    <row r="31" spans="1:6" ht="16.5">
      <c r="A31" s="1033"/>
      <c r="B31" s="1033"/>
      <c r="C31" s="1033"/>
      <c r="D31" s="1441"/>
      <c r="E31" s="1441"/>
      <c r="F31" s="1441"/>
    </row>
    <row r="32" spans="1:6" ht="17.25" thickBot="1">
      <c r="A32" s="1436" t="s">
        <v>1313</v>
      </c>
      <c r="B32" s="1437" t="s">
        <v>786</v>
      </c>
      <c r="C32" s="1020"/>
      <c r="D32" s="1438"/>
      <c r="E32" s="1438"/>
      <c r="F32" s="1439"/>
    </row>
    <row r="33" spans="1:6" ht="17.25" thickTop="1">
      <c r="A33" s="1035" t="s">
        <v>1659</v>
      </c>
      <c r="B33" s="1123">
        <v>10</v>
      </c>
      <c r="C33" s="1440"/>
      <c r="D33" s="1029" t="s">
        <v>1660</v>
      </c>
      <c r="E33" s="1029" t="s">
        <v>1661</v>
      </c>
      <c r="F33" s="1102" t="s">
        <v>1662</v>
      </c>
    </row>
    <row r="34" spans="1:6" ht="16.5">
      <c r="A34" s="1033"/>
      <c r="B34" s="1033"/>
      <c r="C34" s="1033"/>
      <c r="D34" s="1441"/>
      <c r="E34" s="1441"/>
      <c r="F34" s="1441"/>
    </row>
    <row r="35" spans="1:6" ht="17.25" thickBot="1">
      <c r="A35" s="1436" t="s">
        <v>1315</v>
      </c>
      <c r="B35" s="1437" t="s">
        <v>1316</v>
      </c>
      <c r="C35" s="1020"/>
      <c r="D35" s="1438"/>
      <c r="E35" s="1438"/>
      <c r="F35" s="1439"/>
    </row>
    <row r="36" spans="1:6" ht="17.25" thickTop="1">
      <c r="A36" s="1035" t="s">
        <v>1663</v>
      </c>
      <c r="B36" s="1123">
        <v>15</v>
      </c>
      <c r="C36" s="1440"/>
      <c r="D36" s="1029" t="s">
        <v>1664</v>
      </c>
      <c r="E36" s="1029" t="s">
        <v>1665</v>
      </c>
      <c r="F36" s="1102" t="s">
        <v>1666</v>
      </c>
    </row>
    <row r="37" spans="1:6" ht="16.5">
      <c r="A37" s="1044" t="s">
        <v>1667</v>
      </c>
      <c r="B37" s="1123">
        <v>15</v>
      </c>
      <c r="C37" s="1440"/>
      <c r="D37" s="1029" t="s">
        <v>1668</v>
      </c>
      <c r="E37" s="1029" t="s">
        <v>1669</v>
      </c>
      <c r="F37" s="1102" t="s">
        <v>1670</v>
      </c>
    </row>
    <row r="38" spans="1:6" ht="16.5">
      <c r="A38" s="1044" t="s">
        <v>1671</v>
      </c>
      <c r="B38" s="1123">
        <v>30</v>
      </c>
      <c r="C38" s="1440"/>
      <c r="D38" s="1029" t="s">
        <v>1672</v>
      </c>
      <c r="E38" s="1029" t="s">
        <v>1673</v>
      </c>
      <c r="F38" s="1102" t="s">
        <v>1674</v>
      </c>
    </row>
    <row r="39" spans="1:6" ht="16.5">
      <c r="A39" s="1044" t="s">
        <v>1675</v>
      </c>
      <c r="B39" s="1123">
        <v>15</v>
      </c>
      <c r="C39" s="1440"/>
      <c r="D39" s="1029" t="s">
        <v>1676</v>
      </c>
      <c r="E39" s="1029" t="s">
        <v>1677</v>
      </c>
      <c r="F39" s="1102" t="s">
        <v>1678</v>
      </c>
    </row>
    <row r="40" spans="1:6" ht="16.5">
      <c r="A40" s="1044" t="s">
        <v>1679</v>
      </c>
      <c r="B40" s="1123">
        <v>40</v>
      </c>
      <c r="C40" s="1440"/>
      <c r="D40" s="1029" t="s">
        <v>1680</v>
      </c>
      <c r="E40" s="1029" t="s">
        <v>1681</v>
      </c>
      <c r="F40" s="1102" t="s">
        <v>1682</v>
      </c>
    </row>
    <row r="41" spans="1:6" ht="16.5">
      <c r="A41" s="1044" t="s">
        <v>1683</v>
      </c>
      <c r="B41" s="1123">
        <v>30</v>
      </c>
      <c r="C41" s="1440"/>
      <c r="D41" s="1029" t="s">
        <v>1684</v>
      </c>
      <c r="E41" s="1029" t="s">
        <v>1685</v>
      </c>
      <c r="F41" s="1102" t="s">
        <v>1686</v>
      </c>
    </row>
    <row r="42" spans="1:6" ht="16.5">
      <c r="A42" s="1044" t="s">
        <v>1687</v>
      </c>
      <c r="B42" s="1123">
        <v>15</v>
      </c>
      <c r="C42" s="1440"/>
      <c r="D42" s="1029" t="s">
        <v>1688</v>
      </c>
      <c r="E42" s="1029" t="s">
        <v>1689</v>
      </c>
      <c r="F42" s="1102" t="s">
        <v>1690</v>
      </c>
    </row>
    <row r="43" spans="1:6" ht="16.5">
      <c r="A43" s="1032"/>
      <c r="B43" s="1032"/>
      <c r="C43" s="1032"/>
      <c r="D43" s="1441"/>
      <c r="E43" s="1441"/>
      <c r="F43" s="1441"/>
    </row>
    <row r="44" spans="1:6" ht="17.25" thickBot="1">
      <c r="A44" s="1436" t="s">
        <v>614</v>
      </c>
      <c r="B44" s="1437" t="s">
        <v>1324</v>
      </c>
      <c r="C44" s="1020"/>
      <c r="D44" s="1438"/>
      <c r="E44" s="1438"/>
      <c r="F44" s="1439"/>
    </row>
    <row r="45" spans="1:6" ht="17.25" thickTop="1">
      <c r="A45" s="1035" t="s">
        <v>1325</v>
      </c>
      <c r="B45" s="1123">
        <v>0.28999999999999998</v>
      </c>
      <c r="C45" s="1440"/>
      <c r="D45" s="1029" t="s">
        <v>1691</v>
      </c>
      <c r="E45" s="1029" t="s">
        <v>1692</v>
      </c>
      <c r="F45" s="1102" t="s">
        <v>1693</v>
      </c>
    </row>
    <row r="46" spans="1:6" ht="16.5">
      <c r="A46" s="1035" t="s">
        <v>1326</v>
      </c>
      <c r="B46" s="1123">
        <v>5</v>
      </c>
      <c r="C46" s="1440"/>
      <c r="D46" s="1029" t="s">
        <v>1694</v>
      </c>
      <c r="E46" s="1029" t="s">
        <v>1695</v>
      </c>
      <c r="F46" s="1102" t="s">
        <v>1696</v>
      </c>
    </row>
    <row r="47" spans="1:6" ht="16.5">
      <c r="A47" s="1035" t="s">
        <v>1327</v>
      </c>
      <c r="B47" s="1123">
        <v>10</v>
      </c>
      <c r="C47" s="1440"/>
      <c r="D47" s="1029" t="s">
        <v>1697</v>
      </c>
      <c r="E47" s="1029" t="s">
        <v>1698</v>
      </c>
      <c r="F47" s="1102" t="s">
        <v>1699</v>
      </c>
    </row>
    <row r="48" spans="1:6" ht="16.5">
      <c r="A48" s="1035" t="s">
        <v>1328</v>
      </c>
      <c r="B48" s="1123">
        <v>5</v>
      </c>
      <c r="C48" s="1440"/>
      <c r="D48" s="1029" t="s">
        <v>1700</v>
      </c>
      <c r="E48" s="1029" t="s">
        <v>1701</v>
      </c>
      <c r="F48" s="1102" t="s">
        <v>1702</v>
      </c>
    </row>
    <row r="49" spans="1:6" ht="16.5">
      <c r="A49" s="1035" t="s">
        <v>1329</v>
      </c>
      <c r="B49" s="1123">
        <v>90</v>
      </c>
      <c r="C49" s="1440"/>
      <c r="D49" s="1029" t="s">
        <v>1703</v>
      </c>
      <c r="E49" s="1029" t="s">
        <v>1704</v>
      </c>
      <c r="F49" s="1102" t="s">
        <v>1705</v>
      </c>
    </row>
    <row r="50" spans="1:6" ht="16.5">
      <c r="A50" s="1035" t="s">
        <v>1706</v>
      </c>
      <c r="B50" s="1123">
        <v>1</v>
      </c>
      <c r="C50" s="1440"/>
      <c r="D50" s="1029"/>
      <c r="E50" s="1029"/>
      <c r="F50" s="1102"/>
    </row>
    <row r="51" spans="1:6" ht="16.5">
      <c r="A51" s="1035" t="s">
        <v>1707</v>
      </c>
      <c r="B51" s="1123">
        <v>1</v>
      </c>
      <c r="C51" s="1440"/>
      <c r="D51" s="1029"/>
      <c r="E51" s="1029"/>
      <c r="F51" s="1102"/>
    </row>
    <row r="52" spans="1:6" ht="16.5">
      <c r="A52" s="1035" t="s">
        <v>1708</v>
      </c>
      <c r="B52" s="1123">
        <v>1</v>
      </c>
      <c r="C52" s="1440"/>
      <c r="D52" s="1029"/>
      <c r="E52" s="1029"/>
      <c r="F52" s="1102"/>
    </row>
    <row r="53" spans="1:6" ht="16.5">
      <c r="A53" s="1136" t="s">
        <v>1709</v>
      </c>
      <c r="B53" s="1024"/>
      <c r="C53" s="1446"/>
      <c r="D53" s="1446"/>
    </row>
  </sheetData>
  <customSheetViews>
    <customSheetView guid="{FBB3E572-A647-4B8C-96C7-F43FE4F7CAA8}" showPageBreaks="1" hiddenRows="1" hiddenColumns="1">
      <selection activeCell="J13" sqref="J13"/>
      <pageMargins left="0.70866141732283472" right="0.70866141732283472" top="0.74803149606299213" bottom="0.74803149606299213" header="0.31496062992125984" footer="0.31496062992125984"/>
      <pageSetup paperSize="9" scale="60" orientation="portrait" horizontalDpi="0" verticalDpi="0" r:id="rId1"/>
    </customSheetView>
    <customSheetView guid="{900EF7B2-0D63-4DE2-9CFC-2D2B3788802C}" hiddenRows="1" hiddenColumns="1">
      <selection activeCell="D5" sqref="D5"/>
      <pageMargins left="0.70866141732283472" right="0.70866141732283472" top="0.74803149606299213" bottom="0.74803149606299213" header="0.31496062992125984" footer="0.31496062992125984"/>
      <pageSetup paperSize="9" scale="60" orientation="portrait" horizontalDpi="0" verticalDpi="0" r:id="rId2"/>
    </customSheetView>
    <customSheetView guid="{CC6D6007-EFDE-464F-BD7C-A67043AC5D5C}" hiddenRows="1" hiddenColumns="1">
      <selection activeCell="D5" sqref="D5"/>
      <pageMargins left="0.70866141732283472" right="0.70866141732283472" top="0.74803149606299213" bottom="0.74803149606299213" header="0.31496062992125984" footer="0.31496062992125984"/>
      <pageSetup paperSize="9" scale="60" orientation="portrait" horizontalDpi="0" verticalDpi="0" r:id="rId3"/>
    </customSheetView>
  </customSheetViews>
  <pageMargins left="0.70866141732283472" right="0.70866141732283472" top="0.74803149606299213" bottom="0.74803149606299213" header="0.31496062992125984" footer="0.31496062992125984"/>
  <pageSetup paperSize="9" scale="60" orientation="portrait" horizontalDpi="0" verticalDpi="0" r:id="rId4"/>
</worksheet>
</file>

<file path=xl/worksheets/sheet37.xml><?xml version="1.0" encoding="utf-8"?>
<worksheet xmlns="http://schemas.openxmlformats.org/spreadsheetml/2006/main" xmlns:r="http://schemas.openxmlformats.org/officeDocument/2006/relationships">
  <dimension ref="A1:F19"/>
  <sheetViews>
    <sheetView workbookViewId="0">
      <selection activeCell="F27" sqref="F27"/>
    </sheetView>
  </sheetViews>
  <sheetFormatPr defaultRowHeight="15"/>
  <cols>
    <col min="1" max="1" width="52.42578125" customWidth="1"/>
    <col min="4" max="4" width="17.85546875" customWidth="1"/>
    <col min="5" max="5" width="15.42578125" customWidth="1"/>
    <col min="6" max="6" width="18.140625" customWidth="1"/>
  </cols>
  <sheetData>
    <row r="1" spans="1:6" ht="24" thickBot="1">
      <c r="A1" s="1466" t="s">
        <v>1711</v>
      </c>
      <c r="B1" s="1467"/>
      <c r="C1" s="1467"/>
      <c r="D1" s="1467"/>
      <c r="E1" s="1467"/>
      <c r="F1" s="1468"/>
    </row>
    <row r="2" spans="1:6" ht="25.5">
      <c r="A2" s="1458" t="s">
        <v>1712</v>
      </c>
      <c r="B2" s="1024"/>
      <c r="C2" s="1033"/>
      <c r="D2" s="1426"/>
      <c r="E2" s="1426"/>
      <c r="F2" s="1426"/>
    </row>
    <row r="3" spans="1:6" ht="16.5">
      <c r="A3" s="1427"/>
      <c r="B3" s="1427"/>
      <c r="C3" s="1033"/>
      <c r="D3" s="1428"/>
      <c r="E3" s="1429"/>
      <c r="F3" s="1430"/>
    </row>
    <row r="4" spans="1:6" ht="52.5" customHeight="1">
      <c r="A4" s="1459" t="s">
        <v>781</v>
      </c>
      <c r="B4" s="1460" t="s">
        <v>1286</v>
      </c>
      <c r="C4" s="1461"/>
      <c r="D4" s="1462" t="s">
        <v>1713</v>
      </c>
      <c r="E4" s="1462" t="s">
        <v>1288</v>
      </c>
      <c r="F4" s="1463" t="s">
        <v>1615</v>
      </c>
    </row>
    <row r="5" spans="1:6" ht="16.5">
      <c r="A5" s="1051"/>
      <c r="B5" s="1051"/>
      <c r="C5" s="1051"/>
      <c r="D5" s="1051"/>
      <c r="E5" s="1051"/>
      <c r="F5" s="1051"/>
    </row>
    <row r="6" spans="1:6" ht="18.75" thickBot="1">
      <c r="A6" s="1464" t="s">
        <v>1333</v>
      </c>
      <c r="B6" s="1437" t="s">
        <v>217</v>
      </c>
      <c r="C6" s="1020"/>
      <c r="D6" s="1438"/>
      <c r="E6" s="1438"/>
      <c r="F6" s="1439"/>
    </row>
    <row r="7" spans="1:6" ht="17.25" thickTop="1">
      <c r="A7" s="1090" t="s">
        <v>1714</v>
      </c>
      <c r="B7" s="1465">
        <v>12</v>
      </c>
      <c r="C7" s="1075"/>
      <c r="D7" s="1029" t="s">
        <v>1715</v>
      </c>
      <c r="E7" s="1029" t="s">
        <v>1716</v>
      </c>
      <c r="F7" s="1102" t="s">
        <v>1717</v>
      </c>
    </row>
    <row r="8" spans="1:6" ht="16.5">
      <c r="A8" s="1090" t="s">
        <v>1718</v>
      </c>
      <c r="B8" s="1465">
        <v>12</v>
      </c>
      <c r="C8" s="1075"/>
      <c r="D8" s="1029" t="s">
        <v>1719</v>
      </c>
      <c r="E8" s="1029" t="s">
        <v>1720</v>
      </c>
      <c r="F8" s="1102" t="s">
        <v>1721</v>
      </c>
    </row>
    <row r="9" spans="1:6" ht="16.5">
      <c r="A9" s="1033"/>
      <c r="B9" s="1033"/>
      <c r="C9" s="1033"/>
      <c r="D9" s="1441"/>
      <c r="E9" s="1441"/>
      <c r="F9" s="1441"/>
    </row>
    <row r="10" spans="1:6" ht="16.5">
      <c r="A10" s="1033"/>
      <c r="B10" s="1033"/>
      <c r="C10" s="1033"/>
      <c r="D10" s="1092"/>
      <c r="E10" s="1092"/>
      <c r="F10" s="1092"/>
    </row>
    <row r="11" spans="1:6" ht="16.5">
      <c r="A11" s="1090" t="s">
        <v>1722</v>
      </c>
      <c r="B11" s="1465">
        <v>9</v>
      </c>
      <c r="C11" s="1075"/>
      <c r="D11" s="1089" t="s">
        <v>1723</v>
      </c>
      <c r="E11" s="1089" t="s">
        <v>1724</v>
      </c>
      <c r="F11" s="1104" t="s">
        <v>1725</v>
      </c>
    </row>
    <row r="12" spans="1:6" ht="16.5">
      <c r="A12" s="1090" t="s">
        <v>1726</v>
      </c>
      <c r="B12" s="1465">
        <v>9</v>
      </c>
      <c r="C12" s="1075"/>
      <c r="D12" s="1089" t="s">
        <v>1727</v>
      </c>
      <c r="E12" s="1089" t="s">
        <v>1728</v>
      </c>
      <c r="F12" s="1104" t="s">
        <v>1729</v>
      </c>
    </row>
    <row r="13" spans="1:6" ht="16.5">
      <c r="A13" s="1090" t="s">
        <v>1730</v>
      </c>
      <c r="B13" s="1465">
        <v>8</v>
      </c>
      <c r="C13" s="1075"/>
      <c r="D13" s="1089" t="s">
        <v>1723</v>
      </c>
      <c r="E13" s="1089" t="s">
        <v>1724</v>
      </c>
      <c r="F13" s="1104" t="s">
        <v>1725</v>
      </c>
    </row>
    <row r="14" spans="1:6" ht="16.5">
      <c r="A14" s="1033"/>
      <c r="B14" s="1033"/>
      <c r="C14" s="1033"/>
      <c r="D14" s="1441"/>
      <c r="E14" s="1441"/>
      <c r="F14" s="1441"/>
    </row>
    <row r="15" spans="1:6" ht="16.5">
      <c r="A15" s="1033"/>
      <c r="B15" s="1033"/>
      <c r="C15" s="1033"/>
      <c r="D15" s="1092"/>
      <c r="E15" s="1092"/>
      <c r="F15" s="1092"/>
    </row>
    <row r="16" spans="1:6" ht="16.5">
      <c r="A16" s="1090" t="s">
        <v>1722</v>
      </c>
      <c r="B16" s="1465">
        <v>9</v>
      </c>
      <c r="C16" s="1075"/>
      <c r="D16" s="1089"/>
      <c r="E16" s="1089"/>
      <c r="F16" s="1104"/>
    </row>
    <row r="17" spans="1:6" ht="19.5" customHeight="1">
      <c r="A17" s="1090" t="s">
        <v>1726</v>
      </c>
      <c r="B17" s="1465">
        <v>9</v>
      </c>
      <c r="C17" s="1075"/>
      <c r="D17" s="1089"/>
      <c r="E17" s="1089"/>
      <c r="F17" s="1102"/>
    </row>
    <row r="18" spans="1:6" ht="16.5">
      <c r="A18" s="1033"/>
      <c r="B18" s="1033"/>
      <c r="C18" s="1033"/>
      <c r="D18" s="1441"/>
      <c r="E18" s="1441"/>
      <c r="F18" s="1441"/>
    </row>
    <row r="19" spans="1:6" ht="16.5">
      <c r="A19" s="1033"/>
      <c r="B19" s="1033"/>
      <c r="C19" s="1033"/>
      <c r="D19" s="1033"/>
      <c r="E19" s="1446"/>
      <c r="F19" s="1426" t="s">
        <v>1710</v>
      </c>
    </row>
  </sheetData>
  <customSheetViews>
    <customSheetView guid="{FBB3E572-A647-4B8C-96C7-F43FE4F7CAA8}" showPageBreaks="1" state="hidden">
      <selection activeCell="F27" sqref="F27"/>
      <pageMargins left="0.70866141732283472" right="0.70866141732283472" top="0.74803149606299213" bottom="0.74803149606299213" header="0.31496062992125984" footer="0.31496062992125984"/>
      <pageSetup paperSize="9" scale="70" orientation="portrait" horizontalDpi="0" verticalDpi="0" r:id="rId1"/>
    </customSheetView>
    <customSheetView guid="{900EF7B2-0D63-4DE2-9CFC-2D2B3788802C}" state="hidden">
      <selection activeCell="F27" sqref="F27"/>
      <pageMargins left="0.70866141732283472" right="0.70866141732283472" top="0.74803149606299213" bottom="0.74803149606299213" header="0.31496062992125984" footer="0.31496062992125984"/>
      <pageSetup paperSize="9" scale="70" orientation="portrait" horizontalDpi="0" verticalDpi="0" r:id="rId2"/>
    </customSheetView>
    <customSheetView guid="{CC6D6007-EFDE-464F-BD7C-A67043AC5D5C}" state="hidden">
      <selection activeCell="F27" sqref="F27"/>
      <pageMargins left="0.70866141732283472" right="0.70866141732283472" top="0.74803149606299213" bottom="0.74803149606299213" header="0.31496062992125984" footer="0.31496062992125984"/>
      <pageSetup paperSize="9" scale="70" orientation="portrait" horizontalDpi="0" verticalDpi="0" r:id="rId3"/>
    </customSheetView>
  </customSheetViews>
  <pageMargins left="0.70866141732283472" right="0.70866141732283472" top="0.74803149606299213" bottom="0.74803149606299213" header="0.31496062992125984" footer="0.31496062992125984"/>
  <pageSetup paperSize="9" scale="70" orientation="portrait" horizontalDpi="0" verticalDpi="0" r:id="rId4"/>
</worksheet>
</file>

<file path=xl/worksheets/sheet38.xml><?xml version="1.0" encoding="utf-8"?>
<worksheet xmlns="http://schemas.openxmlformats.org/spreadsheetml/2006/main" xmlns:r="http://schemas.openxmlformats.org/officeDocument/2006/relationships">
  <dimension ref="A1:F14"/>
  <sheetViews>
    <sheetView workbookViewId="0">
      <selection activeCell="D5" sqref="D5"/>
    </sheetView>
  </sheetViews>
  <sheetFormatPr defaultRowHeight="15"/>
  <cols>
    <col min="1" max="1" width="60.42578125" customWidth="1"/>
    <col min="2" max="2" width="11.42578125" customWidth="1"/>
    <col min="4" max="4" width="14.85546875" customWidth="1"/>
    <col min="5" max="5" width="15" customWidth="1"/>
    <col min="6" max="6" width="16.140625" customWidth="1"/>
  </cols>
  <sheetData>
    <row r="1" spans="1:6" ht="24" thickBot="1">
      <c r="A1" s="1466" t="s">
        <v>1711</v>
      </c>
      <c r="B1" s="1467"/>
      <c r="C1" s="1467"/>
      <c r="D1" s="1467"/>
      <c r="E1" s="1467"/>
      <c r="F1" s="1468"/>
    </row>
    <row r="2" spans="1:6" ht="25.5">
      <c r="A2" s="1458" t="s">
        <v>1712</v>
      </c>
      <c r="B2" s="1024"/>
      <c r="C2" s="1033"/>
      <c r="D2" s="1426"/>
      <c r="E2" s="1426"/>
      <c r="F2" s="1426"/>
    </row>
    <row r="3" spans="1:6" ht="16.5">
      <c r="A3" s="1032"/>
      <c r="B3" s="1032"/>
      <c r="C3" s="1033"/>
      <c r="D3" s="1033"/>
      <c r="E3" s="1033"/>
      <c r="F3" s="1033"/>
    </row>
    <row r="4" spans="1:6" ht="16.5">
      <c r="A4" s="1427"/>
      <c r="B4" s="1427"/>
      <c r="C4" s="1033"/>
      <c r="D4" s="1428"/>
      <c r="E4" s="1429"/>
      <c r="F4" s="1430"/>
    </row>
    <row r="5" spans="1:6" ht="63">
      <c r="A5" s="1459" t="s">
        <v>781</v>
      </c>
      <c r="B5" s="1460" t="s">
        <v>1286</v>
      </c>
      <c r="C5" s="1461"/>
      <c r="D5" s="1434" t="s">
        <v>1614</v>
      </c>
      <c r="E5" s="1462" t="s">
        <v>1288</v>
      </c>
      <c r="F5" s="1463" t="s">
        <v>1615</v>
      </c>
    </row>
    <row r="6" spans="1:6" ht="16.5">
      <c r="A6" s="1051"/>
      <c r="B6" s="1051"/>
      <c r="C6" s="1051"/>
      <c r="D6" s="1051"/>
      <c r="E6" s="1051"/>
      <c r="F6" s="1051"/>
    </row>
    <row r="7" spans="1:6" ht="18.75" thickBot="1">
      <c r="A7" s="1464" t="s">
        <v>1333</v>
      </c>
      <c r="B7" s="1437" t="s">
        <v>217</v>
      </c>
      <c r="C7" s="1020"/>
      <c r="D7" s="1438"/>
      <c r="E7" s="1438"/>
      <c r="F7" s="1439"/>
    </row>
    <row r="8" spans="1:6" ht="17.25" thickTop="1">
      <c r="A8" s="1090" t="s">
        <v>1714</v>
      </c>
      <c r="B8" s="1465">
        <v>12</v>
      </c>
      <c r="C8" s="1075"/>
      <c r="D8" s="1029" t="s">
        <v>1715</v>
      </c>
      <c r="E8" s="1029" t="s">
        <v>1716</v>
      </c>
      <c r="F8" s="1102" t="s">
        <v>1717</v>
      </c>
    </row>
    <row r="9" spans="1:6" ht="16.5">
      <c r="A9" s="1090" t="s">
        <v>1718</v>
      </c>
      <c r="B9" s="1465">
        <v>12</v>
      </c>
      <c r="C9" s="1075"/>
      <c r="D9" s="1029" t="s">
        <v>1719</v>
      </c>
      <c r="E9" s="1029" t="s">
        <v>1720</v>
      </c>
      <c r="F9" s="1102" t="s">
        <v>1721</v>
      </c>
    </row>
    <row r="10" spans="1:6" ht="16.5">
      <c r="A10" s="1033"/>
      <c r="B10" s="1033"/>
      <c r="C10" s="1033"/>
      <c r="D10" s="1441"/>
      <c r="E10" s="1441"/>
      <c r="F10" s="1441"/>
    </row>
    <row r="11" spans="1:6" ht="16.5">
      <c r="A11" s="1033"/>
      <c r="B11" s="1033"/>
      <c r="C11" s="1033"/>
      <c r="D11" s="1092"/>
      <c r="E11" s="1092"/>
      <c r="F11" s="1092"/>
    </row>
    <row r="12" spans="1:6" ht="16.5">
      <c r="A12" s="1090" t="s">
        <v>1722</v>
      </c>
      <c r="B12" s="1465">
        <v>9</v>
      </c>
      <c r="C12" s="1075"/>
      <c r="D12" s="1089" t="s">
        <v>1723</v>
      </c>
      <c r="E12" s="1089" t="s">
        <v>1724</v>
      </c>
      <c r="F12" s="1104" t="s">
        <v>1725</v>
      </c>
    </row>
    <row r="13" spans="1:6" ht="16.5">
      <c r="A13" s="1090" t="s">
        <v>1726</v>
      </c>
      <c r="B13" s="1465">
        <v>9</v>
      </c>
      <c r="C13" s="1075"/>
      <c r="D13" s="1089" t="s">
        <v>1727</v>
      </c>
      <c r="E13" s="1089" t="s">
        <v>1728</v>
      </c>
      <c r="F13" s="1104" t="s">
        <v>1729</v>
      </c>
    </row>
    <row r="14" spans="1:6" ht="16.5">
      <c r="A14" s="1090" t="s">
        <v>1730</v>
      </c>
      <c r="B14" s="1465">
        <v>8</v>
      </c>
      <c r="C14" s="1075"/>
      <c r="D14" s="1089" t="s">
        <v>1723</v>
      </c>
      <c r="E14" s="1089" t="s">
        <v>1724</v>
      </c>
      <c r="F14" s="1104" t="s">
        <v>1725</v>
      </c>
    </row>
  </sheetData>
  <customSheetViews>
    <customSheetView guid="{FBB3E572-A647-4B8C-96C7-F43FE4F7CAA8}" showPageBreaks="1">
      <selection activeCell="D5" sqref="D5"/>
      <pageMargins left="0.70866141732283472" right="0.70866141732283472" top="0.74803149606299213" bottom="0.74803149606299213" header="0.31496062992125984" footer="0.31496062992125984"/>
      <pageSetup paperSize="9" scale="70" orientation="portrait" horizontalDpi="0" verticalDpi="0" r:id="rId1"/>
    </customSheetView>
    <customSheetView guid="{900EF7B2-0D63-4DE2-9CFC-2D2B3788802C}">
      <selection activeCell="D5" sqref="D5"/>
      <pageMargins left="0.70866141732283472" right="0.70866141732283472" top="0.74803149606299213" bottom="0.74803149606299213" header="0.31496062992125984" footer="0.31496062992125984"/>
      <pageSetup paperSize="9" scale="70" orientation="portrait" horizontalDpi="0" verticalDpi="0" r:id="rId2"/>
    </customSheetView>
    <customSheetView guid="{CC6D6007-EFDE-464F-BD7C-A67043AC5D5C}">
      <selection activeCell="D5" sqref="D5"/>
      <pageMargins left="0.70866141732283472" right="0.70866141732283472" top="0.74803149606299213" bottom="0.74803149606299213" header="0.31496062992125984" footer="0.31496062992125984"/>
      <pageSetup paperSize="9" scale="70" orientation="portrait" horizontalDpi="0" verticalDpi="0" r:id="rId3"/>
    </customSheetView>
  </customSheetViews>
  <pageMargins left="0.70866141732283472" right="0.70866141732283472" top="0.74803149606299213" bottom="0.74803149606299213" header="0.31496062992125984" footer="0.31496062992125984"/>
  <pageSetup paperSize="9" scale="70" orientation="portrait" horizontalDpi="0" verticalDpi="0" r:id="rId4"/>
</worksheet>
</file>

<file path=xl/worksheets/sheet39.xml><?xml version="1.0" encoding="utf-8"?>
<worksheet xmlns="http://schemas.openxmlformats.org/spreadsheetml/2006/main" xmlns:r="http://schemas.openxmlformats.org/officeDocument/2006/relationships">
  <dimension ref="A1:G24"/>
  <sheetViews>
    <sheetView workbookViewId="0">
      <selection activeCell="E27" sqref="E27"/>
    </sheetView>
  </sheetViews>
  <sheetFormatPr defaultRowHeight="15"/>
  <cols>
    <col min="1" max="1" width="43.42578125" customWidth="1"/>
    <col min="2" max="2" width="13.7109375" customWidth="1"/>
    <col min="4" max="4" width="15.28515625" customWidth="1"/>
    <col min="5" max="5" width="15" customWidth="1"/>
    <col min="6" max="6" width="12.7109375" customWidth="1"/>
  </cols>
  <sheetData>
    <row r="1" spans="1:7" ht="21.75" thickBot="1">
      <c r="A1" s="1449" t="s">
        <v>1711</v>
      </c>
      <c r="B1" s="1450"/>
      <c r="C1" s="1450"/>
      <c r="D1" s="1450"/>
      <c r="E1" s="1450"/>
      <c r="F1" s="1451"/>
      <c r="G1" s="576"/>
    </row>
    <row r="2" spans="1:7" ht="25.5">
      <c r="A2" s="1458" t="s">
        <v>1731</v>
      </c>
      <c r="B2" s="1024"/>
      <c r="C2" s="1033"/>
      <c r="D2" s="1426"/>
      <c r="E2" s="1426"/>
      <c r="F2" s="1426"/>
      <c r="G2" s="1469"/>
    </row>
    <row r="3" spans="1:7" ht="16.5">
      <c r="A3" s="1032"/>
      <c r="B3" s="1032"/>
      <c r="C3" s="1033"/>
      <c r="D3" s="1033"/>
      <c r="E3" s="1033"/>
      <c r="F3" s="1033"/>
      <c r="G3" s="1032"/>
    </row>
    <row r="4" spans="1:7" ht="16.5">
      <c r="A4" s="1427"/>
      <c r="B4" s="1427"/>
      <c r="C4" s="1033"/>
      <c r="D4" s="1428"/>
      <c r="E4" s="1429"/>
      <c r="F4" s="1430"/>
      <c r="G4" s="1032"/>
    </row>
    <row r="5" spans="1:7" ht="63">
      <c r="A5" s="1459" t="s">
        <v>781</v>
      </c>
      <c r="B5" s="1432" t="s">
        <v>1286</v>
      </c>
      <c r="C5" s="1433"/>
      <c r="D5" s="1434" t="s">
        <v>1614</v>
      </c>
      <c r="E5" s="1434" t="s">
        <v>1288</v>
      </c>
      <c r="F5" s="1435" t="s">
        <v>1615</v>
      </c>
      <c r="G5" s="1011"/>
    </row>
    <row r="6" spans="1:7" ht="16.5">
      <c r="A6" s="1013"/>
      <c r="B6" s="1013"/>
      <c r="C6" s="1014"/>
      <c r="D6" s="1014"/>
      <c r="E6" s="1014"/>
      <c r="F6" s="1014"/>
      <c r="G6" s="1032"/>
    </row>
    <row r="7" spans="1:7" ht="18.75" thickBot="1">
      <c r="A7" s="1464" t="s">
        <v>1732</v>
      </c>
      <c r="B7" s="1437" t="s">
        <v>21</v>
      </c>
      <c r="C7" s="1020"/>
      <c r="D7" s="1438"/>
      <c r="E7" s="1438"/>
      <c r="F7" s="1439"/>
      <c r="G7" s="1024"/>
    </row>
    <row r="8" spans="1:7" ht="17.25" thickTop="1">
      <c r="A8" s="1025" t="s">
        <v>1733</v>
      </c>
      <c r="B8" s="1122">
        <v>20</v>
      </c>
      <c r="C8" s="1440"/>
      <c r="D8" s="1029" t="s">
        <v>1734</v>
      </c>
      <c r="E8" s="1029" t="s">
        <v>1735</v>
      </c>
      <c r="F8" s="1102" t="s">
        <v>1736</v>
      </c>
      <c r="G8" s="1024"/>
    </row>
    <row r="9" spans="1:7" ht="16.5">
      <c r="A9" s="1025" t="s">
        <v>1737</v>
      </c>
      <c r="B9" s="1122">
        <v>20</v>
      </c>
      <c r="C9" s="1440"/>
      <c r="D9" s="1029" t="s">
        <v>1738</v>
      </c>
      <c r="E9" s="1029" t="s">
        <v>1739</v>
      </c>
      <c r="F9" s="1102" t="s">
        <v>1740</v>
      </c>
      <c r="G9" s="1030"/>
    </row>
    <row r="10" spans="1:7" ht="16.5">
      <c r="A10" s="1025" t="s">
        <v>1741</v>
      </c>
      <c r="B10" s="1122">
        <v>20</v>
      </c>
      <c r="C10" s="1440"/>
      <c r="D10" s="1029" t="s">
        <v>1742</v>
      </c>
      <c r="E10" s="1029" t="s">
        <v>1743</v>
      </c>
      <c r="F10" s="1102" t="s">
        <v>1744</v>
      </c>
      <c r="G10" s="1032"/>
    </row>
    <row r="11" spans="1:7" ht="16.5">
      <c r="A11" s="1013"/>
      <c r="B11" s="1013"/>
      <c r="C11" s="1045"/>
      <c r="D11" s="1441"/>
      <c r="E11" s="1441"/>
      <c r="F11" s="1441"/>
      <c r="G11" s="1032"/>
    </row>
    <row r="12" spans="1:7" ht="16.5">
      <c r="A12" s="1033"/>
      <c r="B12" s="1033"/>
      <c r="C12" s="1045"/>
      <c r="D12" s="1092"/>
      <c r="E12" s="1092"/>
      <c r="F12" s="1092"/>
      <c r="G12" s="1032"/>
    </row>
    <row r="13" spans="1:7" ht="18.75" thickBot="1">
      <c r="A13" s="1464" t="s">
        <v>1745</v>
      </c>
      <c r="B13" s="1437" t="s">
        <v>21</v>
      </c>
      <c r="C13" s="1045"/>
      <c r="D13" s="1438"/>
      <c r="E13" s="1438"/>
      <c r="F13" s="1438"/>
      <c r="G13" s="1032"/>
    </row>
    <row r="14" spans="1:7" ht="17.25" thickTop="1">
      <c r="A14" s="1025" t="s">
        <v>1746</v>
      </c>
      <c r="B14" s="1122">
        <v>16</v>
      </c>
      <c r="C14" s="1440"/>
      <c r="D14" s="1029" t="s">
        <v>1747</v>
      </c>
      <c r="E14" s="1029" t="s">
        <v>1748</v>
      </c>
      <c r="F14" s="1102" t="s">
        <v>1749</v>
      </c>
      <c r="G14" s="1032"/>
    </row>
    <row r="15" spans="1:7" ht="16.5">
      <c r="A15" s="1013"/>
      <c r="B15" s="1013"/>
      <c r="C15" s="1045"/>
      <c r="D15" s="1441"/>
      <c r="E15" s="1441"/>
      <c r="F15" s="1441"/>
      <c r="G15" s="1032"/>
    </row>
    <row r="16" spans="1:7" ht="16.5">
      <c r="A16" s="1033"/>
      <c r="B16" s="1033"/>
      <c r="C16" s="1045"/>
      <c r="D16" s="1092"/>
      <c r="E16" s="1092"/>
      <c r="F16" s="1092"/>
      <c r="G16" s="1032"/>
    </row>
    <row r="17" spans="1:7" ht="18.75" thickBot="1">
      <c r="A17" s="1464" t="s">
        <v>1750</v>
      </c>
      <c r="B17" s="1437" t="s">
        <v>21</v>
      </c>
      <c r="C17" s="1020"/>
      <c r="D17" s="1438"/>
      <c r="E17" s="1438"/>
      <c r="F17" s="1439"/>
      <c r="G17" s="1024"/>
    </row>
    <row r="18" spans="1:7" ht="17.25" thickTop="1">
      <c r="A18" s="1044" t="s">
        <v>1751</v>
      </c>
      <c r="B18" s="1123">
        <v>45</v>
      </c>
      <c r="C18" s="1440"/>
      <c r="D18" s="1029" t="s">
        <v>1752</v>
      </c>
      <c r="E18" s="1029" t="s">
        <v>1753</v>
      </c>
      <c r="F18" s="1102" t="s">
        <v>1754</v>
      </c>
      <c r="G18" s="1030"/>
    </row>
    <row r="19" spans="1:7" ht="16.5">
      <c r="A19" s="1044" t="s">
        <v>1755</v>
      </c>
      <c r="B19" s="1123">
        <v>66</v>
      </c>
      <c r="C19" s="1440"/>
      <c r="D19" s="1029" t="s">
        <v>1756</v>
      </c>
      <c r="E19" s="1029" t="s">
        <v>1757</v>
      </c>
      <c r="F19" s="1102" t="s">
        <v>1758</v>
      </c>
      <c r="G19" s="1030"/>
    </row>
    <row r="20" spans="1:7" ht="16.5">
      <c r="A20" s="1044" t="s">
        <v>1488</v>
      </c>
      <c r="B20" s="1123">
        <v>12</v>
      </c>
      <c r="C20" s="1440"/>
      <c r="D20" s="1029" t="s">
        <v>1759</v>
      </c>
      <c r="E20" s="1029" t="s">
        <v>1760</v>
      </c>
      <c r="F20" s="1102" t="s">
        <v>1761</v>
      </c>
      <c r="G20" s="1030"/>
    </row>
    <row r="21" spans="1:7" ht="16.5">
      <c r="A21" s="1044" t="s">
        <v>1489</v>
      </c>
      <c r="B21" s="1123">
        <v>22</v>
      </c>
      <c r="C21" s="1440"/>
      <c r="D21" s="1029" t="s">
        <v>1762</v>
      </c>
      <c r="E21" s="1029" t="s">
        <v>1763</v>
      </c>
      <c r="F21" s="1102" t="s">
        <v>1764</v>
      </c>
      <c r="G21" s="1030"/>
    </row>
    <row r="22" spans="1:7" ht="16.5">
      <c r="A22" s="1035" t="s">
        <v>1765</v>
      </c>
      <c r="B22" s="1123">
        <v>60</v>
      </c>
      <c r="C22" s="1440"/>
      <c r="D22" s="1029" t="s">
        <v>1766</v>
      </c>
      <c r="E22" s="1029" t="s">
        <v>1767</v>
      </c>
      <c r="F22" s="1102" t="s">
        <v>1768</v>
      </c>
      <c r="G22" s="1032"/>
    </row>
    <row r="23" spans="1:7" ht="16.5">
      <c r="A23" s="1032"/>
      <c r="B23" s="1032"/>
      <c r="C23" s="1033"/>
      <c r="D23" s="1441"/>
      <c r="E23" s="1441"/>
      <c r="F23" s="1441"/>
      <c r="G23" s="1032"/>
    </row>
    <row r="24" spans="1:7" ht="16.5">
      <c r="A24" s="1113"/>
      <c r="B24" s="1113"/>
      <c r="C24" s="1114"/>
      <c r="D24" s="1114"/>
      <c r="E24" s="1446"/>
      <c r="F24" s="1426" t="s">
        <v>1710</v>
      </c>
      <c r="G24" s="1113"/>
    </row>
  </sheetData>
  <customSheetViews>
    <customSheetView guid="{FBB3E572-A647-4B8C-96C7-F43FE4F7CAA8}" showPageBreaks="1">
      <selection activeCell="E27" sqref="E27"/>
      <pageMargins left="0.70866141732283472" right="0.70866141732283472" top="0.74803149606299213" bottom="0.74803149606299213" header="0.31496062992125984" footer="0.31496062992125984"/>
      <pageSetup paperSize="9" scale="80" orientation="portrait" horizontalDpi="0" verticalDpi="0" r:id="rId1"/>
    </customSheetView>
    <customSheetView guid="{900EF7B2-0D63-4DE2-9CFC-2D2B3788802C}">
      <selection activeCell="D5" sqref="D5"/>
      <pageMargins left="0.70866141732283472" right="0.70866141732283472" top="0.74803149606299213" bottom="0.74803149606299213" header="0.31496062992125984" footer="0.31496062992125984"/>
      <pageSetup paperSize="9" scale="80" orientation="portrait" horizontalDpi="0" verticalDpi="0" r:id="rId2"/>
    </customSheetView>
    <customSheetView guid="{CC6D6007-EFDE-464F-BD7C-A67043AC5D5C}">
      <selection activeCell="D5" sqref="D5"/>
      <pageMargins left="0.70866141732283472" right="0.70866141732283472" top="0.74803149606299213" bottom="0.74803149606299213" header="0.31496062992125984" footer="0.31496062992125984"/>
      <pageSetup paperSize="9" scale="80" orientation="portrait" horizontalDpi="0" verticalDpi="0" r:id="rId3"/>
    </customSheetView>
  </customSheetViews>
  <pageMargins left="0.70866141732283472" right="0.70866141732283472" top="0.74803149606299213" bottom="0.74803149606299213" header="0.31496062992125984" footer="0.31496062992125984"/>
  <pageSetup paperSize="9" scale="80" orientation="portrait" horizontalDpi="0" verticalDpi="0" r:id="rId4"/>
</worksheet>
</file>

<file path=xl/worksheets/sheet4.xml><?xml version="1.0" encoding="utf-8"?>
<worksheet xmlns="http://schemas.openxmlformats.org/spreadsheetml/2006/main" xmlns:r="http://schemas.openxmlformats.org/officeDocument/2006/relationships">
  <sheetPr codeName="Лист3">
    <tabColor rgb="FF00B050"/>
    <pageSetUpPr fitToPage="1"/>
  </sheetPr>
  <dimension ref="B1:T14"/>
  <sheetViews>
    <sheetView view="pageBreakPreview" zoomScale="80" zoomScaleNormal="80" zoomScaleSheetLayoutView="80" workbookViewId="0">
      <pane ySplit="5" topLeftCell="A6" activePane="bottomLeft" state="frozen"/>
      <selection pane="bottomLeft" activeCell="G9" sqref="G9"/>
    </sheetView>
  </sheetViews>
  <sheetFormatPr defaultRowHeight="15"/>
  <cols>
    <col min="1" max="1" width="0.42578125" style="1" customWidth="1"/>
    <col min="2" max="2" width="25.85546875" style="49" customWidth="1"/>
    <col min="3" max="3" width="67.140625" style="47" customWidth="1"/>
    <col min="4" max="4" width="23.42578125" style="2" customWidth="1"/>
    <col min="5" max="5" width="5.7109375" style="27" bestFit="1" customWidth="1"/>
    <col min="6" max="6" width="9.28515625" style="27" bestFit="1" customWidth="1"/>
    <col min="7" max="7" width="27.140625" style="2" customWidth="1"/>
    <col min="8" max="8" width="11.42578125" style="2" customWidth="1"/>
    <col min="9" max="9" width="10.28515625" style="2" customWidth="1"/>
    <col min="10" max="10" width="9.85546875" style="2" customWidth="1"/>
    <col min="11" max="12" width="0.140625" style="2" customWidth="1"/>
    <col min="13" max="13" width="10.42578125" style="7" hidden="1" customWidth="1"/>
    <col min="14" max="14" width="8.42578125" style="46" hidden="1" customWidth="1"/>
    <col min="15" max="15" width="7" style="46" hidden="1" customWidth="1"/>
    <col min="16" max="16" width="7.28515625" style="1" hidden="1" customWidth="1"/>
    <col min="17" max="17" width="6.85546875" style="1" hidden="1" customWidth="1"/>
    <col min="18" max="18" width="7" style="1" hidden="1" customWidth="1"/>
    <col min="19" max="19" width="9" style="1" hidden="1" customWidth="1"/>
    <col min="20" max="20" width="9.140625" style="1" hidden="1" customWidth="1"/>
    <col min="21" max="16384" width="9.140625" style="1"/>
  </cols>
  <sheetData>
    <row r="1" spans="2:19" ht="1.5" customHeight="1"/>
    <row r="2" spans="2:19" ht="15.75" thickBot="1">
      <c r="B2" s="321" t="s">
        <v>777</v>
      </c>
      <c r="C2" s="321"/>
      <c r="D2" s="321"/>
      <c r="E2" s="321"/>
      <c r="F2" s="321"/>
      <c r="G2" s="321"/>
      <c r="H2" s="321"/>
      <c r="I2" s="321"/>
      <c r="J2" s="321"/>
      <c r="K2" s="321"/>
      <c r="L2" s="321"/>
    </row>
    <row r="3" spans="2:19" s="41" customFormat="1" ht="18" thickBot="1">
      <c r="B3" s="1618" t="s">
        <v>39</v>
      </c>
      <c r="C3" s="1621" t="s">
        <v>52</v>
      </c>
      <c r="D3" s="1624" t="s">
        <v>16</v>
      </c>
      <c r="E3" s="1627" t="s">
        <v>15</v>
      </c>
      <c r="F3" s="1628"/>
      <c r="G3" s="1629"/>
      <c r="H3" s="1630" t="s">
        <v>37</v>
      </c>
      <c r="I3" s="1621"/>
      <c r="J3" s="1621"/>
      <c r="K3" s="1631"/>
      <c r="L3" s="1632"/>
      <c r="M3" s="39"/>
      <c r="N3" s="1610" t="s">
        <v>109</v>
      </c>
      <c r="O3" s="1610" t="s">
        <v>43</v>
      </c>
      <c r="P3" s="40"/>
    </row>
    <row r="4" spans="2:19" s="43" customFormat="1" ht="138">
      <c r="B4" s="1619"/>
      <c r="C4" s="1622"/>
      <c r="D4" s="1625"/>
      <c r="E4" s="1611" t="s">
        <v>21</v>
      </c>
      <c r="F4" s="1611" t="s">
        <v>1</v>
      </c>
      <c r="G4" s="1613" t="s">
        <v>2</v>
      </c>
      <c r="H4" s="1615" t="s">
        <v>38</v>
      </c>
      <c r="I4" s="1616"/>
      <c r="J4" s="1616"/>
      <c r="K4" s="1617"/>
      <c r="L4" s="8" t="s">
        <v>22</v>
      </c>
      <c r="M4" s="42"/>
      <c r="N4" s="1610"/>
      <c r="O4" s="1610"/>
      <c r="P4" s="40"/>
    </row>
    <row r="5" spans="2:19" s="43" customFormat="1" ht="104.25" thickBot="1">
      <c r="B5" s="1620"/>
      <c r="C5" s="1623"/>
      <c r="D5" s="1626"/>
      <c r="E5" s="1612"/>
      <c r="F5" s="1612"/>
      <c r="G5" s="1614"/>
      <c r="H5" s="22" t="s">
        <v>17</v>
      </c>
      <c r="I5" s="23" t="s">
        <v>19</v>
      </c>
      <c r="J5" s="23" t="s">
        <v>20</v>
      </c>
      <c r="K5" s="24" t="s">
        <v>18</v>
      </c>
      <c r="L5" s="24" t="s">
        <v>18</v>
      </c>
      <c r="M5" s="42"/>
      <c r="N5" s="1610"/>
      <c r="O5" s="1610"/>
      <c r="P5" s="40"/>
    </row>
    <row r="6" spans="2:19" ht="75">
      <c r="B6" s="50" t="s">
        <v>57</v>
      </c>
      <c r="C6" s="48" t="s">
        <v>44</v>
      </c>
      <c r="D6" s="4" t="s">
        <v>40</v>
      </c>
      <c r="E6" s="25" t="s">
        <v>42</v>
      </c>
      <c r="F6" s="33" t="s">
        <v>41</v>
      </c>
      <c r="G6" s="21">
        <v>0.28799999999999998</v>
      </c>
      <c r="H6" s="19">
        <f>(O6+200)*1.25</f>
        <v>1611.0249999999999</v>
      </c>
      <c r="I6" s="12">
        <f>(O6+200)*1.2</f>
        <v>1546.5839999999998</v>
      </c>
      <c r="J6" s="12">
        <f>(O6+200)*1.1</f>
        <v>1417.702</v>
      </c>
      <c r="K6" s="9">
        <f>(O6+200)*1.03</f>
        <v>1327.4846</v>
      </c>
      <c r="L6" s="3">
        <f>O6*1.03</f>
        <v>1121.4846</v>
      </c>
      <c r="N6" s="46">
        <f>O6+210</f>
        <v>1298.82</v>
      </c>
      <c r="O6" s="46">
        <v>1088.82</v>
      </c>
      <c r="S6" s="1">
        <f>O6*1.03</f>
        <v>1121.4846</v>
      </c>
    </row>
    <row r="7" spans="2:19" ht="135">
      <c r="B7" s="51" t="s">
        <v>58</v>
      </c>
      <c r="C7" s="26" t="s">
        <v>45</v>
      </c>
      <c r="D7" s="5" t="s">
        <v>46</v>
      </c>
      <c r="E7" s="28" t="s">
        <v>47</v>
      </c>
      <c r="F7" s="34">
        <v>5.76</v>
      </c>
      <c r="G7" s="17">
        <v>0.24</v>
      </c>
      <c r="H7" s="19">
        <f t="shared" ref="H7:H14" si="0">(O7+200)*1.25</f>
        <v>1863.9875000000002</v>
      </c>
      <c r="I7" s="12">
        <f t="shared" ref="I7:I14" si="1">(O7+200)*1.2</f>
        <v>1789.4280000000001</v>
      </c>
      <c r="J7" s="12">
        <f t="shared" ref="J7:J14" si="2">(O7+200)*1.1</f>
        <v>1640.3090000000002</v>
      </c>
      <c r="K7" s="9">
        <f t="shared" ref="K7:K14" si="3">(O7+200)*1.03</f>
        <v>1535.9257</v>
      </c>
      <c r="L7" s="3">
        <f t="shared" ref="L7:L14" si="4">O7*1.03</f>
        <v>1329.9257</v>
      </c>
      <c r="N7" s="46">
        <f>O7+210</f>
        <v>1501.19</v>
      </c>
      <c r="O7" s="46">
        <v>1291.19</v>
      </c>
      <c r="S7" s="1">
        <f t="shared" ref="S7:S14" si="5">O7*1.03</f>
        <v>1329.9257</v>
      </c>
    </row>
    <row r="8" spans="2:19" ht="135">
      <c r="B8" s="51" t="s">
        <v>59</v>
      </c>
      <c r="C8" s="31" t="s">
        <v>45</v>
      </c>
      <c r="D8" s="6" t="s">
        <v>48</v>
      </c>
      <c r="E8" s="32" t="s">
        <v>49</v>
      </c>
      <c r="F8" s="34" t="s">
        <v>50</v>
      </c>
      <c r="G8" s="37" t="s">
        <v>51</v>
      </c>
      <c r="H8" s="19">
        <f t="shared" si="0"/>
        <v>2115.65</v>
      </c>
      <c r="I8" s="12">
        <f t="shared" si="1"/>
        <v>2031.0239999999999</v>
      </c>
      <c r="J8" s="12">
        <f t="shared" si="2"/>
        <v>1861.7720000000002</v>
      </c>
      <c r="K8" s="9">
        <f t="shared" si="3"/>
        <v>1743.2955999999999</v>
      </c>
      <c r="L8" s="3">
        <f t="shared" si="4"/>
        <v>1537.2955999999999</v>
      </c>
      <c r="N8" s="46">
        <f>O8+210</f>
        <v>1702.52</v>
      </c>
      <c r="O8" s="46">
        <v>1492.52</v>
      </c>
      <c r="S8" s="1">
        <f t="shared" si="5"/>
        <v>1537.2955999999999</v>
      </c>
    </row>
    <row r="9" spans="2:19" ht="105">
      <c r="B9" s="51" t="s">
        <v>56</v>
      </c>
      <c r="C9" s="48" t="s">
        <v>60</v>
      </c>
      <c r="D9" s="5" t="s">
        <v>53</v>
      </c>
      <c r="E9" s="38" t="s">
        <v>42</v>
      </c>
      <c r="F9" s="34" t="s">
        <v>54</v>
      </c>
      <c r="G9" s="37">
        <v>0.2</v>
      </c>
      <c r="H9" s="19">
        <f t="shared" si="0"/>
        <v>2380.8250000000003</v>
      </c>
      <c r="I9" s="12">
        <f t="shared" si="1"/>
        <v>2285.5920000000001</v>
      </c>
      <c r="J9" s="12">
        <f t="shared" si="2"/>
        <v>2095.1260000000002</v>
      </c>
      <c r="K9" s="9">
        <f>(O9+200)*1.03</f>
        <v>1961.7998000000002</v>
      </c>
      <c r="L9" s="3">
        <f t="shared" si="4"/>
        <v>1755.7998000000002</v>
      </c>
      <c r="N9" s="46">
        <f t="shared" ref="N9:N14" si="6">O9+210</f>
        <v>1914.66</v>
      </c>
      <c r="O9" s="46">
        <v>1704.66</v>
      </c>
      <c r="S9" s="1">
        <f t="shared" si="5"/>
        <v>1755.7998000000002</v>
      </c>
    </row>
    <row r="10" spans="2:19" ht="105">
      <c r="B10" s="10" t="s">
        <v>55</v>
      </c>
      <c r="C10" s="11" t="s">
        <v>61</v>
      </c>
      <c r="D10" s="6" t="s">
        <v>62</v>
      </c>
      <c r="E10" s="29" t="s">
        <v>42</v>
      </c>
      <c r="F10" s="35" t="s">
        <v>54</v>
      </c>
      <c r="G10" s="44">
        <v>0.2</v>
      </c>
      <c r="H10" s="19">
        <f t="shared" si="0"/>
        <v>3104.9250000000002</v>
      </c>
      <c r="I10" s="12">
        <f t="shared" si="1"/>
        <v>2980.7280000000001</v>
      </c>
      <c r="J10" s="12">
        <f t="shared" si="2"/>
        <v>2732.3340000000003</v>
      </c>
      <c r="K10" s="9">
        <f t="shared" si="3"/>
        <v>2558.4582</v>
      </c>
      <c r="L10" s="3">
        <f t="shared" si="4"/>
        <v>2352.4582</v>
      </c>
      <c r="N10" s="46">
        <f t="shared" si="6"/>
        <v>2493.94</v>
      </c>
      <c r="O10" s="46">
        <v>2283.94</v>
      </c>
      <c r="S10" s="1">
        <f t="shared" si="5"/>
        <v>2352.4582</v>
      </c>
    </row>
    <row r="11" spans="2:19" ht="79.5" customHeight="1">
      <c r="B11" s="10" t="s">
        <v>63</v>
      </c>
      <c r="C11" s="11" t="s">
        <v>64</v>
      </c>
      <c r="D11" s="5" t="s">
        <v>65</v>
      </c>
      <c r="E11" s="28" t="s">
        <v>66</v>
      </c>
      <c r="F11" s="45" t="s">
        <v>67</v>
      </c>
      <c r="G11" s="17" t="s">
        <v>68</v>
      </c>
      <c r="H11" s="19">
        <f t="shared" si="0"/>
        <v>6555.7375000000002</v>
      </c>
      <c r="I11" s="12">
        <f t="shared" si="1"/>
        <v>6293.5079999999998</v>
      </c>
      <c r="J11" s="12">
        <f t="shared" si="2"/>
        <v>5769.0490000000009</v>
      </c>
      <c r="K11" s="9">
        <f t="shared" si="3"/>
        <v>5401.9277000000002</v>
      </c>
      <c r="L11" s="3">
        <f t="shared" si="4"/>
        <v>5195.9277000000002</v>
      </c>
      <c r="N11" s="46">
        <f t="shared" si="6"/>
        <v>5254.59</v>
      </c>
      <c r="O11" s="46">
        <v>5044.59</v>
      </c>
      <c r="S11" s="1">
        <f t="shared" si="5"/>
        <v>5195.9277000000002</v>
      </c>
    </row>
    <row r="12" spans="2:19" ht="96" customHeight="1">
      <c r="B12" s="10" t="s">
        <v>770</v>
      </c>
      <c r="C12" s="11" t="s">
        <v>771</v>
      </c>
      <c r="D12" s="5" t="s">
        <v>774</v>
      </c>
      <c r="E12" s="28" t="s">
        <v>773</v>
      </c>
      <c r="F12" s="45" t="s">
        <v>772</v>
      </c>
      <c r="G12" s="17">
        <v>0.12</v>
      </c>
      <c r="H12" s="19">
        <f t="shared" si="0"/>
        <v>7653.1500000000005</v>
      </c>
      <c r="I12" s="12">
        <f t="shared" si="1"/>
        <v>7347.0240000000003</v>
      </c>
      <c r="J12" s="12">
        <f t="shared" si="2"/>
        <v>6734.7720000000008</v>
      </c>
      <c r="K12" s="9">
        <f t="shared" si="3"/>
        <v>6306.1956000000009</v>
      </c>
      <c r="L12" s="3">
        <f t="shared" si="4"/>
        <v>6100.1956000000009</v>
      </c>
      <c r="N12" s="46">
        <f t="shared" si="6"/>
        <v>6132.52</v>
      </c>
      <c r="O12" s="46">
        <v>5922.52</v>
      </c>
      <c r="S12" s="1">
        <f t="shared" si="5"/>
        <v>6100.1956000000009</v>
      </c>
    </row>
    <row r="13" spans="2:19" ht="30">
      <c r="B13" s="10" t="s">
        <v>69</v>
      </c>
      <c r="C13" s="11" t="s">
        <v>71</v>
      </c>
      <c r="D13" s="5" t="s">
        <v>73</v>
      </c>
      <c r="E13" s="38" t="s">
        <v>74</v>
      </c>
      <c r="F13" s="34" t="s">
        <v>75</v>
      </c>
      <c r="G13" s="17" t="s">
        <v>76</v>
      </c>
      <c r="H13" s="19">
        <f t="shared" si="0"/>
        <v>2750</v>
      </c>
      <c r="I13" s="12">
        <f t="shared" si="1"/>
        <v>2640</v>
      </c>
      <c r="J13" s="12">
        <f t="shared" si="2"/>
        <v>2420</v>
      </c>
      <c r="K13" s="9">
        <f t="shared" si="3"/>
        <v>2266</v>
      </c>
      <c r="L13" s="3">
        <f t="shared" si="4"/>
        <v>2060</v>
      </c>
      <c r="N13" s="46">
        <f t="shared" si="6"/>
        <v>2210</v>
      </c>
      <c r="O13" s="46">
        <v>2000</v>
      </c>
      <c r="S13" s="1">
        <f t="shared" si="5"/>
        <v>2060</v>
      </c>
    </row>
    <row r="14" spans="2:19" ht="45.75" thickBot="1">
      <c r="B14" s="13" t="s">
        <v>72</v>
      </c>
      <c r="C14" s="52" t="s">
        <v>70</v>
      </c>
      <c r="D14" s="14" t="s">
        <v>77</v>
      </c>
      <c r="E14" s="53" t="s">
        <v>74</v>
      </c>
      <c r="F14" s="36" t="s">
        <v>75</v>
      </c>
      <c r="G14" s="18" t="s">
        <v>78</v>
      </c>
      <c r="H14" s="20">
        <f t="shared" si="0"/>
        <v>3750</v>
      </c>
      <c r="I14" s="15">
        <f t="shared" si="1"/>
        <v>3600</v>
      </c>
      <c r="J14" s="15">
        <f t="shared" si="2"/>
        <v>3300.0000000000005</v>
      </c>
      <c r="K14" s="16">
        <f t="shared" si="3"/>
        <v>3090</v>
      </c>
      <c r="L14" s="90">
        <f t="shared" si="4"/>
        <v>2884</v>
      </c>
      <c r="N14" s="46">
        <f t="shared" si="6"/>
        <v>3010</v>
      </c>
      <c r="O14" s="46">
        <v>2800</v>
      </c>
      <c r="S14" s="1">
        <f t="shared" si="5"/>
        <v>2884</v>
      </c>
    </row>
  </sheetData>
  <customSheetViews>
    <customSheetView guid="{FBB3E572-A647-4B8C-96C7-F43FE4F7CAA8}"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1"/>
    </customSheetView>
    <customSheetView guid="{900EF7B2-0D63-4DE2-9CFC-2D2B3788802C}"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2"/>
    </customSheetView>
    <customSheetView guid="{CC6D6007-EFDE-464F-BD7C-A67043AC5D5C}"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3"/>
    </customSheetView>
    <customSheetView guid="{C0FE86CC-5BB4-4265-957F-F51B909B3E81}"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4"/>
    </customSheetView>
  </customSheetViews>
  <mergeCells count="11">
    <mergeCell ref="B3:B5"/>
    <mergeCell ref="C3:C5"/>
    <mergeCell ref="D3:D5"/>
    <mergeCell ref="E3:G3"/>
    <mergeCell ref="H3:L3"/>
    <mergeCell ref="N3:N5"/>
    <mergeCell ref="O3:O5"/>
    <mergeCell ref="E4:E5"/>
    <mergeCell ref="F4:F5"/>
    <mergeCell ref="G4:G5"/>
    <mergeCell ref="H4:K4"/>
  </mergeCells>
  <pageMargins left="1.17" right="0.27559055118110237" top="0.39370078740157483" bottom="0.23622047244094491" header="0.31496062992125984" footer="0.19685039370078741"/>
  <pageSetup paperSize="9" scale="52" orientation="landscape" verticalDpi="0" r:id="rId5"/>
  <legacyDrawing r:id="rId6"/>
</worksheet>
</file>

<file path=xl/worksheets/sheet40.xml><?xml version="1.0" encoding="utf-8"?>
<worksheet xmlns="http://schemas.openxmlformats.org/spreadsheetml/2006/main" xmlns:r="http://schemas.openxmlformats.org/officeDocument/2006/relationships">
  <dimension ref="A1:F68"/>
  <sheetViews>
    <sheetView workbookViewId="0">
      <selection activeCell="D5" sqref="D5"/>
    </sheetView>
  </sheetViews>
  <sheetFormatPr defaultRowHeight="15"/>
  <cols>
    <col min="1" max="1" width="61" customWidth="1"/>
    <col min="2" max="2" width="14.85546875" customWidth="1"/>
    <col min="3" max="3" width="9.140625" customWidth="1"/>
    <col min="4" max="4" width="17.85546875" customWidth="1"/>
    <col min="5" max="5" width="15.5703125" customWidth="1"/>
    <col min="6" max="6" width="17.7109375" customWidth="1"/>
  </cols>
  <sheetData>
    <row r="1" spans="1:6" ht="27" thickBot="1">
      <c r="A1" s="1454" t="s">
        <v>1711</v>
      </c>
      <c r="B1" s="1455"/>
      <c r="C1" s="1455"/>
      <c r="D1" s="1455"/>
      <c r="E1" s="1455"/>
      <c r="F1" s="1456"/>
    </row>
    <row r="2" spans="1:6" ht="25.5">
      <c r="A2" s="1458" t="s">
        <v>1769</v>
      </c>
      <c r="B2" s="1024"/>
      <c r="C2" s="1033"/>
      <c r="D2" s="1426"/>
      <c r="E2" s="1426"/>
      <c r="F2" s="1426"/>
    </row>
    <row r="3" spans="1:6" ht="16.5">
      <c r="A3" s="1032"/>
      <c r="B3" s="1032"/>
      <c r="C3" s="1033"/>
      <c r="D3" s="1033"/>
      <c r="E3" s="1033"/>
      <c r="F3" s="1033"/>
    </row>
    <row r="4" spans="1:6" ht="16.5">
      <c r="A4" s="1427"/>
      <c r="B4" s="1427"/>
      <c r="C4" s="1033"/>
      <c r="D4" s="1428"/>
      <c r="E4" s="1429"/>
      <c r="F4" s="1430"/>
    </row>
    <row r="5" spans="1:6" ht="50.25" customHeight="1">
      <c r="A5" s="1431" t="s">
        <v>781</v>
      </c>
      <c r="B5" s="1432" t="s">
        <v>1286</v>
      </c>
      <c r="C5" s="1433"/>
      <c r="D5" s="1434" t="s">
        <v>1614</v>
      </c>
      <c r="E5" s="1434" t="s">
        <v>1288</v>
      </c>
      <c r="F5" s="1435" t="s">
        <v>1615</v>
      </c>
    </row>
    <row r="6" spans="1:6" ht="16.5">
      <c r="A6" s="1013"/>
      <c r="B6" s="1013"/>
      <c r="C6" s="1014"/>
      <c r="D6" s="1014"/>
      <c r="E6" s="1014"/>
      <c r="F6" s="1014"/>
    </row>
    <row r="7" spans="1:6" ht="20.25">
      <c r="A7" s="1470" t="s">
        <v>1770</v>
      </c>
      <c r="B7" s="1471"/>
      <c r="C7" s="1471"/>
      <c r="D7" s="1471"/>
      <c r="E7" s="1471"/>
      <c r="F7" s="1472"/>
    </row>
    <row r="8" spans="1:6" ht="16.5">
      <c r="A8" s="1473" t="s">
        <v>1771</v>
      </c>
      <c r="B8" s="1474" t="s">
        <v>21</v>
      </c>
      <c r="C8" s="1020"/>
      <c r="D8" s="1475"/>
      <c r="E8" s="1475"/>
      <c r="F8" s="1475"/>
    </row>
    <row r="9" spans="1:6" ht="16.5">
      <c r="A9" s="1025" t="s">
        <v>1772</v>
      </c>
      <c r="B9" s="1122">
        <v>20</v>
      </c>
      <c r="C9" s="1440"/>
      <c r="D9" s="1029" t="s">
        <v>1773</v>
      </c>
      <c r="E9" s="1029" t="s">
        <v>1774</v>
      </c>
      <c r="F9" s="1102" t="s">
        <v>1775</v>
      </c>
    </row>
    <row r="10" spans="1:6" ht="16.5">
      <c r="A10" s="1035" t="s">
        <v>1776</v>
      </c>
      <c r="B10" s="1123">
        <v>20</v>
      </c>
      <c r="C10" s="1440"/>
      <c r="D10" s="1089" t="s">
        <v>1777</v>
      </c>
      <c r="E10" s="1089" t="s">
        <v>1778</v>
      </c>
      <c r="F10" s="1102" t="s">
        <v>1779</v>
      </c>
    </row>
    <row r="11" spans="1:6" ht="16.5">
      <c r="A11" s="1025" t="s">
        <v>1780</v>
      </c>
      <c r="B11" s="1122">
        <v>16</v>
      </c>
      <c r="C11" s="1440"/>
      <c r="D11" s="1029" t="s">
        <v>1781</v>
      </c>
      <c r="E11" s="1029" t="s">
        <v>1782</v>
      </c>
      <c r="F11" s="1102" t="s">
        <v>1783</v>
      </c>
    </row>
    <row r="12" spans="1:6" ht="16.5">
      <c r="A12" s="1025" t="s">
        <v>1784</v>
      </c>
      <c r="B12" s="1122">
        <v>16</v>
      </c>
      <c r="C12" s="1440"/>
      <c r="D12" s="1029" t="s">
        <v>1785</v>
      </c>
      <c r="E12" s="1029" t="s">
        <v>1786</v>
      </c>
      <c r="F12" s="1102" t="s">
        <v>1787</v>
      </c>
    </row>
    <row r="13" spans="1:6" ht="16.5">
      <c r="A13" s="1025" t="s">
        <v>1737</v>
      </c>
      <c r="B13" s="1122">
        <v>20</v>
      </c>
      <c r="C13" s="1440"/>
      <c r="D13" s="1029" t="s">
        <v>1788</v>
      </c>
      <c r="E13" s="1029" t="s">
        <v>1789</v>
      </c>
      <c r="F13" s="1102" t="s">
        <v>1790</v>
      </c>
    </row>
    <row r="14" spans="1:6" ht="16.5">
      <c r="A14" s="1476"/>
      <c r="B14" s="1476"/>
      <c r="C14" s="1476"/>
      <c r="D14" s="1441"/>
      <c r="E14" s="1441"/>
      <c r="F14" s="1441"/>
    </row>
    <row r="15" spans="1:6" ht="18">
      <c r="A15" s="1477" t="s">
        <v>1791</v>
      </c>
      <c r="B15" s="1474" t="s">
        <v>21</v>
      </c>
      <c r="C15" s="1020"/>
      <c r="D15" s="1475"/>
      <c r="E15" s="1475"/>
      <c r="F15" s="1475"/>
    </row>
    <row r="16" spans="1:6" ht="16.5">
      <c r="A16" s="1025" t="s">
        <v>1792</v>
      </c>
      <c r="B16" s="1122">
        <v>16</v>
      </c>
      <c r="C16" s="1440"/>
      <c r="D16" s="1029" t="s">
        <v>1793</v>
      </c>
      <c r="E16" s="1029" t="s">
        <v>1794</v>
      </c>
      <c r="F16" s="1102" t="s">
        <v>1795</v>
      </c>
    </row>
    <row r="17" spans="1:6" ht="16.5">
      <c r="A17" s="1025" t="s">
        <v>1796</v>
      </c>
      <c r="B17" s="1122">
        <v>16</v>
      </c>
      <c r="C17" s="1440"/>
      <c r="D17" s="1029" t="s">
        <v>1797</v>
      </c>
      <c r="E17" s="1029" t="s">
        <v>1798</v>
      </c>
      <c r="F17" s="1102" t="s">
        <v>1799</v>
      </c>
    </row>
    <row r="18" spans="1:6" ht="16.5">
      <c r="A18" s="1476"/>
      <c r="B18" s="1476"/>
      <c r="C18" s="1476"/>
      <c r="D18" s="1441"/>
      <c r="E18" s="1441"/>
      <c r="F18" s="1441"/>
    </row>
    <row r="19" spans="1:6" ht="20.25">
      <c r="A19" s="1470" t="s">
        <v>1800</v>
      </c>
      <c r="B19" s="1471"/>
      <c r="C19" s="1471"/>
      <c r="D19" s="1471"/>
      <c r="E19" s="1471"/>
      <c r="F19" s="1472"/>
    </row>
    <row r="20" spans="1:6" ht="17.25" thickBot="1">
      <c r="A20" s="1478" t="s">
        <v>1801</v>
      </c>
      <c r="B20" s="1479" t="s">
        <v>21</v>
      </c>
      <c r="C20" s="1033"/>
      <c r="D20" s="1480"/>
      <c r="E20" s="1480"/>
      <c r="F20" s="1480"/>
    </row>
    <row r="21" spans="1:6" ht="17.25" thickTop="1">
      <c r="A21" s="1025" t="s">
        <v>1802</v>
      </c>
      <c r="B21" s="1122">
        <v>20</v>
      </c>
      <c r="C21" s="1033"/>
      <c r="D21" s="1029" t="s">
        <v>1803</v>
      </c>
      <c r="E21" s="1029" t="s">
        <v>1804</v>
      </c>
      <c r="F21" s="1102" t="s">
        <v>1805</v>
      </c>
    </row>
    <row r="22" spans="1:6" ht="16.5">
      <c r="A22" s="1035" t="s">
        <v>1806</v>
      </c>
      <c r="B22" s="1123">
        <v>20</v>
      </c>
      <c r="C22" s="1033"/>
      <c r="D22" s="1029" t="s">
        <v>1807</v>
      </c>
      <c r="E22" s="1029" t="s">
        <v>1808</v>
      </c>
      <c r="F22" s="1102" t="s">
        <v>1809</v>
      </c>
    </row>
    <row r="23" spans="1:6" ht="16.5">
      <c r="A23" s="1476"/>
      <c r="B23" s="1476"/>
      <c r="C23" s="1476"/>
      <c r="D23" s="1441"/>
      <c r="E23" s="1441"/>
      <c r="F23" s="1441"/>
    </row>
    <row r="24" spans="1:6" ht="18">
      <c r="A24" s="1477" t="s">
        <v>1810</v>
      </c>
      <c r="B24" s="1474" t="str">
        <f>B20</f>
        <v>шт</v>
      </c>
      <c r="C24" s="1020"/>
      <c r="D24" s="1475"/>
      <c r="E24" s="1475"/>
      <c r="F24" s="1475"/>
    </row>
    <row r="25" spans="1:6" ht="16.5">
      <c r="A25" s="1025" t="s">
        <v>1792</v>
      </c>
      <c r="B25" s="1123">
        <v>16</v>
      </c>
      <c r="C25" s="1033"/>
      <c r="D25" s="1029" t="s">
        <v>1811</v>
      </c>
      <c r="E25" s="1029" t="s">
        <v>1812</v>
      </c>
      <c r="F25" s="1102" t="s">
        <v>1813</v>
      </c>
    </row>
    <row r="26" spans="1:6" ht="16.5">
      <c r="A26" s="1025" t="s">
        <v>1814</v>
      </c>
      <c r="B26" s="1123">
        <v>16</v>
      </c>
      <c r="C26" s="1033"/>
      <c r="D26" s="1029" t="s">
        <v>1815</v>
      </c>
      <c r="E26" s="1029" t="s">
        <v>1816</v>
      </c>
      <c r="F26" s="1102" t="s">
        <v>1817</v>
      </c>
    </row>
    <row r="27" spans="1:6" ht="16.5">
      <c r="A27" s="1476"/>
      <c r="B27" s="1476"/>
      <c r="C27" s="1476"/>
      <c r="D27" s="1441"/>
      <c r="E27" s="1441"/>
      <c r="F27" s="1441"/>
    </row>
    <row r="28" spans="1:6" ht="20.25">
      <c r="A28" s="1470" t="s">
        <v>1818</v>
      </c>
      <c r="B28" s="1471"/>
      <c r="C28" s="1471"/>
      <c r="D28" s="1471"/>
      <c r="E28" s="1471"/>
      <c r="F28" s="1472"/>
    </row>
    <row r="29" spans="1:6" ht="18">
      <c r="A29" s="1473" t="s">
        <v>1819</v>
      </c>
      <c r="B29" s="1485" t="s">
        <v>21</v>
      </c>
      <c r="C29" s="1033"/>
      <c r="D29" s="1475"/>
      <c r="E29" s="1475"/>
      <c r="F29" s="1475"/>
    </row>
    <row r="30" spans="1:6" ht="16.5">
      <c r="A30" s="1481" t="s">
        <v>1820</v>
      </c>
      <c r="B30" s="1131">
        <v>60</v>
      </c>
      <c r="C30" s="1440"/>
      <c r="D30" s="1029" t="s">
        <v>1821</v>
      </c>
      <c r="E30" s="1029" t="s">
        <v>1822</v>
      </c>
      <c r="F30" s="1102" t="s">
        <v>1823</v>
      </c>
    </row>
    <row r="31" spans="1:6" ht="16.5">
      <c r="A31" s="1046" t="s">
        <v>1751</v>
      </c>
      <c r="B31" s="1132">
        <v>45</v>
      </c>
      <c r="C31" s="1440"/>
      <c r="D31" s="1029" t="s">
        <v>1824</v>
      </c>
      <c r="E31" s="1029" t="s">
        <v>1825</v>
      </c>
      <c r="F31" s="1102" t="s">
        <v>1826</v>
      </c>
    </row>
    <row r="32" spans="1:6" ht="16.5">
      <c r="A32" s="1046" t="s">
        <v>1827</v>
      </c>
      <c r="B32" s="1132">
        <v>50</v>
      </c>
      <c r="C32" s="1440"/>
      <c r="D32" s="1029" t="s">
        <v>1828</v>
      </c>
      <c r="E32" s="1029" t="s">
        <v>1829</v>
      </c>
      <c r="F32" s="1102" t="s">
        <v>1830</v>
      </c>
    </row>
    <row r="33" spans="1:6" ht="16.5">
      <c r="A33" s="1046" t="s">
        <v>1755</v>
      </c>
      <c r="B33" s="1132">
        <v>66</v>
      </c>
      <c r="C33" s="1440"/>
      <c r="D33" s="1029" t="s">
        <v>1821</v>
      </c>
      <c r="E33" s="1029" t="s">
        <v>1822</v>
      </c>
      <c r="F33" s="1102" t="s">
        <v>1823</v>
      </c>
    </row>
    <row r="34" spans="1:6" ht="16.5">
      <c r="A34" s="1046" t="s">
        <v>1489</v>
      </c>
      <c r="B34" s="1132">
        <v>22</v>
      </c>
      <c r="C34" s="1440"/>
      <c r="D34" s="1029" t="s">
        <v>1831</v>
      </c>
      <c r="E34" s="1029" t="s">
        <v>1832</v>
      </c>
      <c r="F34" s="1102" t="s">
        <v>1833</v>
      </c>
    </row>
    <row r="35" spans="1:6" ht="16.5">
      <c r="A35" s="1046" t="s">
        <v>1834</v>
      </c>
      <c r="B35" s="1123">
        <v>38</v>
      </c>
      <c r="C35" s="1440"/>
      <c r="D35" s="1029" t="s">
        <v>1835</v>
      </c>
      <c r="E35" s="1029" t="s">
        <v>1836</v>
      </c>
      <c r="F35" s="1102" t="s">
        <v>1837</v>
      </c>
    </row>
    <row r="36" spans="1:6" ht="16.5">
      <c r="A36" s="1046" t="s">
        <v>1838</v>
      </c>
      <c r="B36" s="1132">
        <v>12</v>
      </c>
      <c r="C36" s="1440"/>
      <c r="D36" s="1029" t="s">
        <v>1839</v>
      </c>
      <c r="E36" s="1029" t="s">
        <v>1840</v>
      </c>
      <c r="F36" s="1102" t="s">
        <v>1841</v>
      </c>
    </row>
    <row r="37" spans="1:6" ht="16.5">
      <c r="A37" s="1046" t="s">
        <v>1842</v>
      </c>
      <c r="B37" s="1123">
        <v>30</v>
      </c>
      <c r="C37" s="1440"/>
      <c r="D37" s="1029" t="s">
        <v>1843</v>
      </c>
      <c r="E37" s="1029" t="s">
        <v>1844</v>
      </c>
      <c r="F37" s="1102" t="s">
        <v>1845</v>
      </c>
    </row>
    <row r="38" spans="1:6" ht="16.5">
      <c r="A38" s="1046" t="s">
        <v>1846</v>
      </c>
      <c r="B38" s="1123">
        <v>22</v>
      </c>
      <c r="C38" s="1440"/>
      <c r="D38" s="1029" t="s">
        <v>1847</v>
      </c>
      <c r="E38" s="1029" t="s">
        <v>1848</v>
      </c>
      <c r="F38" s="1102" t="s">
        <v>1849</v>
      </c>
    </row>
    <row r="39" spans="1:6" ht="16.5">
      <c r="A39" s="1046" t="s">
        <v>1850</v>
      </c>
      <c r="B39" s="1132">
        <v>12</v>
      </c>
      <c r="C39" s="1440"/>
      <c r="D39" s="1029" t="s">
        <v>1851</v>
      </c>
      <c r="E39" s="1029" t="s">
        <v>1852</v>
      </c>
      <c r="F39" s="1102" t="s">
        <v>1853</v>
      </c>
    </row>
    <row r="40" spans="1:6" ht="16.5">
      <c r="A40" s="1046" t="s">
        <v>1854</v>
      </c>
      <c r="B40" s="1132">
        <v>20</v>
      </c>
      <c r="C40" s="1440"/>
      <c r="D40" s="1029" t="s">
        <v>1855</v>
      </c>
      <c r="E40" s="1029" t="s">
        <v>1856</v>
      </c>
      <c r="F40" s="1102" t="s">
        <v>1857</v>
      </c>
    </row>
    <row r="41" spans="1:6" ht="16.5">
      <c r="A41" s="1046" t="s">
        <v>1858</v>
      </c>
      <c r="B41" s="1132">
        <v>50</v>
      </c>
      <c r="C41" s="1440"/>
      <c r="D41" s="1029" t="s">
        <v>1859</v>
      </c>
      <c r="E41" s="1029" t="s">
        <v>1860</v>
      </c>
      <c r="F41" s="1102" t="s">
        <v>1861</v>
      </c>
    </row>
    <row r="42" spans="1:6" ht="16.5">
      <c r="A42" s="1046" t="s">
        <v>1862</v>
      </c>
      <c r="B42" s="1123">
        <v>40</v>
      </c>
      <c r="C42" s="1440"/>
      <c r="D42" s="1029" t="s">
        <v>1863</v>
      </c>
      <c r="E42" s="1029" t="s">
        <v>1864</v>
      </c>
      <c r="F42" s="1102" t="s">
        <v>1865</v>
      </c>
    </row>
    <row r="43" spans="1:6" ht="16.5">
      <c r="A43" s="1046" t="s">
        <v>1866</v>
      </c>
      <c r="B43" s="1123">
        <v>12</v>
      </c>
      <c r="C43" s="1440"/>
      <c r="D43" s="1029" t="s">
        <v>1867</v>
      </c>
      <c r="E43" s="1029" t="s">
        <v>1868</v>
      </c>
      <c r="F43" s="1102" t="s">
        <v>1869</v>
      </c>
    </row>
    <row r="44" spans="1:6" ht="16.5">
      <c r="A44" s="1046" t="s">
        <v>1870</v>
      </c>
      <c r="B44" s="1123">
        <v>5</v>
      </c>
      <c r="C44" s="1440"/>
      <c r="D44" s="1029" t="s">
        <v>1871</v>
      </c>
      <c r="E44" s="1029" t="s">
        <v>1872</v>
      </c>
      <c r="F44" s="1102" t="s">
        <v>1873</v>
      </c>
    </row>
    <row r="45" spans="1:6" ht="16.5">
      <c r="A45" s="1476"/>
      <c r="B45" s="1476"/>
      <c r="C45" s="1476"/>
      <c r="D45" s="1441"/>
      <c r="E45" s="1441"/>
      <c r="F45" s="1441"/>
    </row>
    <row r="46" spans="1:6" ht="36.75" customHeight="1">
      <c r="A46" s="1482" t="s">
        <v>1874</v>
      </c>
      <c r="B46" s="1486" t="s">
        <v>21</v>
      </c>
      <c r="C46" s="1033"/>
      <c r="D46" s="1475"/>
      <c r="E46" s="1475"/>
      <c r="F46" s="1475"/>
    </row>
    <row r="47" spans="1:6" ht="16.5">
      <c r="A47" s="1481" t="s">
        <v>1875</v>
      </c>
      <c r="B47" s="1122">
        <v>60</v>
      </c>
      <c r="C47" s="1440"/>
      <c r="D47" s="1029" t="s">
        <v>1876</v>
      </c>
      <c r="E47" s="1029" t="s">
        <v>1877</v>
      </c>
      <c r="F47" s="1102" t="s">
        <v>1878</v>
      </c>
    </row>
    <row r="48" spans="1:6" ht="16.5">
      <c r="A48" s="1046" t="s">
        <v>1755</v>
      </c>
      <c r="B48" s="1132">
        <v>66</v>
      </c>
      <c r="C48" s="1440"/>
      <c r="D48" s="1029" t="s">
        <v>1876</v>
      </c>
      <c r="E48" s="1029" t="s">
        <v>1877</v>
      </c>
      <c r="F48" s="1102" t="s">
        <v>1878</v>
      </c>
    </row>
    <row r="49" spans="1:6" ht="16.5">
      <c r="A49" s="1046" t="s">
        <v>1879</v>
      </c>
      <c r="B49" s="1123">
        <v>45</v>
      </c>
      <c r="C49" s="1440"/>
      <c r="D49" s="1029" t="s">
        <v>1880</v>
      </c>
      <c r="E49" s="1029" t="s">
        <v>1881</v>
      </c>
      <c r="F49" s="1102" t="s">
        <v>1882</v>
      </c>
    </row>
    <row r="50" spans="1:6" ht="16.5">
      <c r="A50" s="1046" t="s">
        <v>1883</v>
      </c>
      <c r="B50" s="1123">
        <v>12</v>
      </c>
      <c r="C50" s="1440"/>
      <c r="D50" s="1029" t="s">
        <v>1839</v>
      </c>
      <c r="E50" s="1029" t="s">
        <v>1840</v>
      </c>
      <c r="F50" s="1102" t="s">
        <v>1841</v>
      </c>
    </row>
    <row r="51" spans="1:6" ht="16.5">
      <c r="A51" s="1046" t="s">
        <v>1884</v>
      </c>
      <c r="B51" s="1132">
        <v>22</v>
      </c>
      <c r="C51" s="1440"/>
      <c r="D51" s="1029" t="s">
        <v>1885</v>
      </c>
      <c r="E51" s="1029" t="s">
        <v>1886</v>
      </c>
      <c r="F51" s="1102" t="s">
        <v>1887</v>
      </c>
    </row>
    <row r="52" spans="1:6" ht="16.5">
      <c r="A52" s="1046" t="s">
        <v>1888</v>
      </c>
      <c r="B52" s="1123">
        <v>12</v>
      </c>
      <c r="C52" s="1440"/>
      <c r="D52" s="1029" t="s">
        <v>1867</v>
      </c>
      <c r="E52" s="1029" t="s">
        <v>1868</v>
      </c>
      <c r="F52" s="1102" t="s">
        <v>1869</v>
      </c>
    </row>
    <row r="53" spans="1:6" ht="16.5">
      <c r="A53" s="1476"/>
      <c r="B53" s="1476"/>
      <c r="C53" s="1476"/>
      <c r="D53" s="1441"/>
      <c r="E53" s="1441"/>
      <c r="F53" s="1441"/>
    </row>
    <row r="54" spans="1:6" ht="41.25" customHeight="1">
      <c r="A54" s="1483" t="s">
        <v>1889</v>
      </c>
      <c r="B54" s="1486" t="s">
        <v>21</v>
      </c>
      <c r="C54" s="1033"/>
      <c r="D54" s="1475"/>
      <c r="E54" s="1475"/>
      <c r="F54" s="1475"/>
    </row>
    <row r="55" spans="1:6" ht="16.5">
      <c r="A55" s="1481" t="s">
        <v>1858</v>
      </c>
      <c r="B55" s="1131">
        <v>50</v>
      </c>
      <c r="C55" s="1440"/>
      <c r="D55" s="1029" t="s">
        <v>1890</v>
      </c>
      <c r="E55" s="1029" t="s">
        <v>1891</v>
      </c>
      <c r="F55" s="1102" t="s">
        <v>1892</v>
      </c>
    </row>
    <row r="56" spans="1:6" ht="16.5">
      <c r="A56" s="1046" t="s">
        <v>1893</v>
      </c>
      <c r="B56" s="1132">
        <v>20</v>
      </c>
      <c r="C56" s="1440"/>
      <c r="D56" s="1029" t="s">
        <v>1894</v>
      </c>
      <c r="E56" s="1029" t="s">
        <v>1895</v>
      </c>
      <c r="F56" s="1102" t="s">
        <v>1896</v>
      </c>
    </row>
    <row r="57" spans="1:6" ht="16.5">
      <c r="A57" s="1046" t="s">
        <v>1875</v>
      </c>
      <c r="B57" s="1132">
        <v>60</v>
      </c>
      <c r="C57" s="1440"/>
      <c r="D57" s="1029" t="s">
        <v>1897</v>
      </c>
      <c r="E57" s="1029" t="s">
        <v>1898</v>
      </c>
      <c r="F57" s="1102" t="s">
        <v>1899</v>
      </c>
    </row>
    <row r="58" spans="1:6" ht="16.5">
      <c r="A58" s="1046" t="s">
        <v>1755</v>
      </c>
      <c r="B58" s="1132">
        <v>66</v>
      </c>
      <c r="C58" s="1440"/>
      <c r="D58" s="1029" t="s">
        <v>1900</v>
      </c>
      <c r="E58" s="1029" t="s">
        <v>1901</v>
      </c>
      <c r="F58" s="1102" t="s">
        <v>1902</v>
      </c>
    </row>
    <row r="59" spans="1:6" ht="16.5">
      <c r="A59" s="1046" t="s">
        <v>1879</v>
      </c>
      <c r="B59" s="1132">
        <v>45</v>
      </c>
      <c r="C59" s="1440"/>
      <c r="D59" s="1029" t="s">
        <v>1903</v>
      </c>
      <c r="E59" s="1029" t="s">
        <v>1904</v>
      </c>
      <c r="F59" s="1102" t="s">
        <v>1905</v>
      </c>
    </row>
    <row r="60" spans="1:6" ht="16.5">
      <c r="A60" s="1046" t="s">
        <v>1489</v>
      </c>
      <c r="B60" s="1132">
        <v>22</v>
      </c>
      <c r="C60" s="1440"/>
      <c r="D60" s="1029" t="s">
        <v>1906</v>
      </c>
      <c r="E60" s="1029" t="s">
        <v>1907</v>
      </c>
      <c r="F60" s="1102" t="s">
        <v>1908</v>
      </c>
    </row>
    <row r="61" spans="1:6" ht="16.5">
      <c r="A61" s="1046" t="s">
        <v>1909</v>
      </c>
      <c r="B61" s="1132">
        <v>12</v>
      </c>
      <c r="C61" s="1440"/>
      <c r="D61" s="1029" t="s">
        <v>1910</v>
      </c>
      <c r="E61" s="1029" t="s">
        <v>1911</v>
      </c>
      <c r="F61" s="1102" t="s">
        <v>1912</v>
      </c>
    </row>
    <row r="62" spans="1:6" ht="16.5">
      <c r="A62" s="1046" t="s">
        <v>1888</v>
      </c>
      <c r="B62" s="1123">
        <v>12</v>
      </c>
      <c r="C62" s="1440"/>
      <c r="D62" s="1029" t="s">
        <v>1913</v>
      </c>
      <c r="E62" s="1029" t="s">
        <v>1914</v>
      </c>
      <c r="F62" s="1102" t="s">
        <v>1915</v>
      </c>
    </row>
    <row r="63" spans="1:6" ht="16.5">
      <c r="A63" s="1046" t="s">
        <v>1850</v>
      </c>
      <c r="B63" s="1132">
        <v>12</v>
      </c>
      <c r="C63" s="1440"/>
      <c r="D63" s="1029" t="s">
        <v>1916</v>
      </c>
      <c r="E63" s="1029" t="s">
        <v>1917</v>
      </c>
      <c r="F63" s="1102" t="s">
        <v>1918</v>
      </c>
    </row>
    <row r="64" spans="1:6" ht="16.5">
      <c r="A64" s="1046" t="s">
        <v>1919</v>
      </c>
      <c r="B64" s="1132">
        <v>22</v>
      </c>
      <c r="C64" s="1440"/>
      <c r="D64" s="1029" t="s">
        <v>1920</v>
      </c>
      <c r="E64" s="1029" t="s">
        <v>1921</v>
      </c>
      <c r="F64" s="1102" t="s">
        <v>1922</v>
      </c>
    </row>
    <row r="65" spans="1:6" ht="16.5">
      <c r="A65" s="1046" t="s">
        <v>1842</v>
      </c>
      <c r="B65" s="1123">
        <v>30</v>
      </c>
      <c r="C65" s="1440"/>
      <c r="D65" s="1029" t="s">
        <v>1923</v>
      </c>
      <c r="E65" s="1029" t="s">
        <v>1924</v>
      </c>
      <c r="F65" s="1102" t="s">
        <v>1925</v>
      </c>
    </row>
    <row r="66" spans="1:6" ht="16.5">
      <c r="A66" s="1046" t="s">
        <v>1926</v>
      </c>
      <c r="B66" s="1123">
        <v>5</v>
      </c>
      <c r="C66" s="1440"/>
      <c r="D66" s="1029" t="s">
        <v>1927</v>
      </c>
      <c r="E66" s="1029" t="s">
        <v>1928</v>
      </c>
      <c r="F66" s="1102" t="s">
        <v>1929</v>
      </c>
    </row>
    <row r="67" spans="1:6" ht="16.5">
      <c r="A67" s="1476"/>
      <c r="B67" s="1476"/>
      <c r="C67" s="1476"/>
      <c r="D67" s="1441"/>
      <c r="E67" s="1441"/>
      <c r="F67" s="1441"/>
    </row>
    <row r="68" spans="1:6" ht="18">
      <c r="A68" s="1484" t="s">
        <v>1930</v>
      </c>
      <c r="B68" s="1024"/>
      <c r="C68" s="1446"/>
      <c r="D68" s="1426"/>
      <c r="E68" s="1426"/>
      <c r="F68" s="1426"/>
    </row>
  </sheetData>
  <customSheetViews>
    <customSheetView guid="{FBB3E572-A647-4B8C-96C7-F43FE4F7CAA8}" showPageBreaks="1">
      <selection activeCell="D5" sqref="D5"/>
      <pageMargins left="0.70866141732283472" right="0.70866141732283472" top="0.74803149606299213" bottom="0.74803149606299213" header="0.31496062992125984" footer="0.31496062992125984"/>
      <pageSetup paperSize="9" scale="65" orientation="portrait" horizontalDpi="0" verticalDpi="0" r:id="rId1"/>
    </customSheetView>
    <customSheetView guid="{900EF7B2-0D63-4DE2-9CFC-2D2B3788802C}">
      <selection activeCell="D5" sqref="D5"/>
      <pageMargins left="0.70866141732283472" right="0.70866141732283472" top="0.74803149606299213" bottom="0.74803149606299213" header="0.31496062992125984" footer="0.31496062992125984"/>
      <pageSetup paperSize="9" scale="65" orientation="portrait" horizontalDpi="0" verticalDpi="0" r:id="rId2"/>
    </customSheetView>
    <customSheetView guid="{CC6D6007-EFDE-464F-BD7C-A67043AC5D5C}">
      <selection activeCell="D5" sqref="D5"/>
      <pageMargins left="0.70866141732283472" right="0.70866141732283472" top="0.74803149606299213" bottom="0.74803149606299213" header="0.31496062992125984" footer="0.31496062992125984"/>
      <pageSetup paperSize="9" scale="65" orientation="portrait" horizontalDpi="0" verticalDpi="0" r:id="rId3"/>
    </customSheetView>
  </customSheetViews>
  <pageMargins left="0.70866141732283472" right="0.70866141732283472" top="0.74803149606299213" bottom="0.74803149606299213" header="0.31496062992125984" footer="0.31496062992125984"/>
  <pageSetup paperSize="9" scale="65" orientation="portrait" horizontalDpi="0" verticalDpi="0" r:id="rId4"/>
</worksheet>
</file>

<file path=xl/worksheets/sheet41.xml><?xml version="1.0" encoding="utf-8"?>
<worksheet xmlns="http://schemas.openxmlformats.org/spreadsheetml/2006/main" xmlns:r="http://schemas.openxmlformats.org/officeDocument/2006/relationships">
  <dimension ref="A1:F42"/>
  <sheetViews>
    <sheetView workbookViewId="0">
      <selection activeCell="D4" sqref="D4"/>
    </sheetView>
  </sheetViews>
  <sheetFormatPr defaultRowHeight="15"/>
  <cols>
    <col min="1" max="1" width="51.28515625" customWidth="1"/>
    <col min="2" max="2" width="15.7109375" customWidth="1"/>
    <col min="3" max="3" width="18" customWidth="1"/>
    <col min="4" max="4" width="17.140625" customWidth="1"/>
    <col min="5" max="5" width="15.7109375" customWidth="1"/>
    <col min="6" max="6" width="15.85546875" customWidth="1"/>
  </cols>
  <sheetData>
    <row r="1" spans="1:6" ht="27" thickBot="1">
      <c r="A1" s="1454" t="s">
        <v>1711</v>
      </c>
      <c r="B1" s="1455"/>
      <c r="C1" s="1455"/>
      <c r="D1" s="1455"/>
      <c r="E1" s="1455"/>
      <c r="F1" s="1456"/>
    </row>
    <row r="2" spans="1:6" ht="25.5">
      <c r="A2" s="1458" t="s">
        <v>1931</v>
      </c>
      <c r="B2" s="1024"/>
      <c r="C2" s="1033"/>
      <c r="D2" s="1426"/>
      <c r="E2" s="1426"/>
      <c r="F2" s="1426"/>
    </row>
    <row r="3" spans="1:6" ht="16.5">
      <c r="A3" s="1427"/>
      <c r="B3" s="1427"/>
      <c r="C3" s="1033"/>
      <c r="D3" s="1428"/>
      <c r="E3" s="1429"/>
      <c r="F3" s="1430"/>
    </row>
    <row r="4" spans="1:6" ht="62.25" customHeight="1">
      <c r="A4" s="1431" t="s">
        <v>781</v>
      </c>
      <c r="B4" s="1432" t="s">
        <v>1286</v>
      </c>
      <c r="C4" s="1433"/>
      <c r="D4" s="1434" t="s">
        <v>1614</v>
      </c>
      <c r="E4" s="1434" t="s">
        <v>1288</v>
      </c>
      <c r="F4" s="1435" t="s">
        <v>1615</v>
      </c>
    </row>
    <row r="5" spans="1:6" ht="16.5">
      <c r="A5" s="1013"/>
      <c r="B5" s="1013"/>
      <c r="C5" s="1045"/>
      <c r="D5" s="1014"/>
      <c r="E5" s="1014"/>
      <c r="F5" s="1014"/>
    </row>
    <row r="6" spans="1:6" ht="18.75" thickBot="1">
      <c r="A6" s="1464" t="s">
        <v>1932</v>
      </c>
      <c r="B6" s="1437" t="s">
        <v>21</v>
      </c>
      <c r="C6" s="1020"/>
      <c r="D6" s="1438"/>
      <c r="E6" s="1438"/>
      <c r="F6" s="1439"/>
    </row>
    <row r="7" spans="1:6" ht="17.25" thickTop="1">
      <c r="A7" s="1025" t="s">
        <v>1933</v>
      </c>
      <c r="B7" s="1487">
        <v>5</v>
      </c>
      <c r="C7" s="1488"/>
      <c r="D7" s="1029" t="s">
        <v>1934</v>
      </c>
      <c r="E7" s="1029" t="s">
        <v>1935</v>
      </c>
      <c r="F7" s="1102" t="s">
        <v>1936</v>
      </c>
    </row>
    <row r="8" spans="1:6" ht="16.5">
      <c r="A8" s="1025" t="s">
        <v>1937</v>
      </c>
      <c r="B8" s="1487">
        <v>5</v>
      </c>
      <c r="C8" s="1488"/>
      <c r="D8" s="1029" t="s">
        <v>1938</v>
      </c>
      <c r="E8" s="1029" t="s">
        <v>1939</v>
      </c>
      <c r="F8" s="1102" t="s">
        <v>1940</v>
      </c>
    </row>
    <row r="9" spans="1:6" ht="16.5">
      <c r="A9" s="1025" t="s">
        <v>1941</v>
      </c>
      <c r="B9" s="1487">
        <v>5</v>
      </c>
      <c r="C9" s="1488"/>
      <c r="D9" s="1029" t="s">
        <v>1942</v>
      </c>
      <c r="E9" s="1029" t="s">
        <v>1943</v>
      </c>
      <c r="F9" s="1102" t="s">
        <v>1944</v>
      </c>
    </row>
    <row r="10" spans="1:6" ht="16.5">
      <c r="A10" s="1025" t="s">
        <v>1945</v>
      </c>
      <c r="B10" s="1487">
        <v>5</v>
      </c>
      <c r="C10" s="1488"/>
      <c r="D10" s="1029" t="s">
        <v>1946</v>
      </c>
      <c r="E10" s="1029" t="s">
        <v>1947</v>
      </c>
      <c r="F10" s="1102" t="s">
        <v>1948</v>
      </c>
    </row>
    <row r="11" spans="1:6" ht="16.5">
      <c r="A11" s="1025" t="s">
        <v>1949</v>
      </c>
      <c r="B11" s="1487">
        <v>5</v>
      </c>
      <c r="C11" s="1488"/>
      <c r="D11" s="1029" t="s">
        <v>1950</v>
      </c>
      <c r="E11" s="1029" t="s">
        <v>1951</v>
      </c>
      <c r="F11" s="1102" t="s">
        <v>1952</v>
      </c>
    </row>
    <row r="12" spans="1:6" ht="16.5">
      <c r="A12" s="1025" t="s">
        <v>1953</v>
      </c>
      <c r="B12" s="1487">
        <v>5</v>
      </c>
      <c r="C12" s="1488"/>
      <c r="D12" s="1029" t="s">
        <v>1954</v>
      </c>
      <c r="E12" s="1029" t="s">
        <v>1955</v>
      </c>
      <c r="F12" s="1102" t="s">
        <v>1956</v>
      </c>
    </row>
    <row r="13" spans="1:6" ht="16.5">
      <c r="A13" s="1025" t="s">
        <v>1440</v>
      </c>
      <c r="B13" s="1487">
        <v>8</v>
      </c>
      <c r="C13" s="1488"/>
      <c r="D13" s="1029" t="s">
        <v>1957</v>
      </c>
      <c r="E13" s="1029" t="s">
        <v>1958</v>
      </c>
      <c r="F13" s="1102" t="s">
        <v>1959</v>
      </c>
    </row>
    <row r="14" spans="1:6" ht="16.5">
      <c r="A14" s="1025" t="s">
        <v>1960</v>
      </c>
      <c r="B14" s="1487">
        <v>8</v>
      </c>
      <c r="C14" s="1488"/>
      <c r="D14" s="1029" t="s">
        <v>1961</v>
      </c>
      <c r="E14" s="1029" t="s">
        <v>1962</v>
      </c>
      <c r="F14" s="1102" t="s">
        <v>1963</v>
      </c>
    </row>
    <row r="15" spans="1:6" ht="16.5">
      <c r="A15" s="1025" t="s">
        <v>1424</v>
      </c>
      <c r="B15" s="1487">
        <v>30</v>
      </c>
      <c r="C15" s="1488"/>
      <c r="D15" s="1029" t="s">
        <v>1964</v>
      </c>
      <c r="E15" s="1029" t="s">
        <v>1965</v>
      </c>
      <c r="F15" s="1102" t="s">
        <v>1966</v>
      </c>
    </row>
    <row r="16" spans="1:6" ht="16.5">
      <c r="A16" s="1025" t="s">
        <v>1967</v>
      </c>
      <c r="B16" s="1487">
        <v>30</v>
      </c>
      <c r="C16" s="1488"/>
      <c r="D16" s="1029" t="s">
        <v>1968</v>
      </c>
      <c r="E16" s="1029" t="s">
        <v>1969</v>
      </c>
      <c r="F16" s="1102" t="s">
        <v>1970</v>
      </c>
    </row>
    <row r="17" spans="1:6" ht="16.5">
      <c r="A17" s="1025" t="s">
        <v>1971</v>
      </c>
      <c r="B17" s="1487">
        <v>10</v>
      </c>
      <c r="C17" s="1488"/>
      <c r="D17" s="1029" t="s">
        <v>1972</v>
      </c>
      <c r="E17" s="1029" t="s">
        <v>1973</v>
      </c>
      <c r="F17" s="1102" t="s">
        <v>1974</v>
      </c>
    </row>
    <row r="18" spans="1:6" ht="16.5">
      <c r="A18" s="1025" t="s">
        <v>1975</v>
      </c>
      <c r="B18" s="1487">
        <v>10</v>
      </c>
      <c r="C18" s="1488"/>
      <c r="D18" s="1029" t="s">
        <v>1976</v>
      </c>
      <c r="E18" s="1029" t="s">
        <v>1977</v>
      </c>
      <c r="F18" s="1102" t="s">
        <v>1978</v>
      </c>
    </row>
    <row r="19" spans="1:6" ht="16.5">
      <c r="A19" s="1025" t="s">
        <v>1430</v>
      </c>
      <c r="B19" s="1487">
        <v>10</v>
      </c>
      <c r="C19" s="1488"/>
      <c r="D19" s="1029" t="s">
        <v>1979</v>
      </c>
      <c r="E19" s="1029" t="s">
        <v>1980</v>
      </c>
      <c r="F19" s="1102" t="s">
        <v>1981</v>
      </c>
    </row>
    <row r="20" spans="1:6" ht="16.5">
      <c r="A20" s="1025" t="s">
        <v>1982</v>
      </c>
      <c r="B20" s="1487">
        <v>10</v>
      </c>
      <c r="C20" s="1488"/>
      <c r="D20" s="1029" t="s">
        <v>1983</v>
      </c>
      <c r="E20" s="1029" t="s">
        <v>1984</v>
      </c>
      <c r="F20" s="1102" t="s">
        <v>1985</v>
      </c>
    </row>
    <row r="21" spans="1:6" ht="16.5">
      <c r="A21" s="1025" t="s">
        <v>1986</v>
      </c>
      <c r="B21" s="1487">
        <v>60</v>
      </c>
      <c r="C21" s="1488"/>
      <c r="D21" s="1029" t="s">
        <v>1987</v>
      </c>
      <c r="E21" s="1029" t="s">
        <v>1988</v>
      </c>
      <c r="F21" s="1102" t="s">
        <v>1989</v>
      </c>
    </row>
    <row r="22" spans="1:6" ht="16.5">
      <c r="A22" s="1025" t="s">
        <v>1990</v>
      </c>
      <c r="B22" s="1487">
        <v>60</v>
      </c>
      <c r="C22" s="1488"/>
      <c r="D22" s="1029" t="s">
        <v>1991</v>
      </c>
      <c r="E22" s="1029" t="s">
        <v>1992</v>
      </c>
      <c r="F22" s="1102" t="s">
        <v>1993</v>
      </c>
    </row>
    <row r="23" spans="1:6" ht="16.5">
      <c r="A23" s="1044" t="s">
        <v>1452</v>
      </c>
      <c r="B23" s="1465">
        <v>30</v>
      </c>
      <c r="C23" s="1488"/>
      <c r="D23" s="1029" t="s">
        <v>1994</v>
      </c>
      <c r="E23" s="1029" t="s">
        <v>1995</v>
      </c>
      <c r="F23" s="1102" t="s">
        <v>1996</v>
      </c>
    </row>
    <row r="24" spans="1:6" ht="16.5">
      <c r="A24" s="1044" t="s">
        <v>1997</v>
      </c>
      <c r="B24" s="1123">
        <v>30</v>
      </c>
      <c r="C24" s="1488"/>
      <c r="D24" s="1029" t="s">
        <v>1994</v>
      </c>
      <c r="E24" s="1029" t="s">
        <v>1995</v>
      </c>
      <c r="F24" s="1102" t="s">
        <v>1996</v>
      </c>
    </row>
    <row r="25" spans="1:6" ht="16.5">
      <c r="A25" s="1025" t="s">
        <v>1998</v>
      </c>
      <c r="B25" s="1122">
        <v>66</v>
      </c>
      <c r="C25" s="1488"/>
      <c r="D25" s="1029" t="s">
        <v>1999</v>
      </c>
      <c r="E25" s="1029" t="s">
        <v>2000</v>
      </c>
      <c r="F25" s="1102" t="s">
        <v>2001</v>
      </c>
    </row>
    <row r="26" spans="1:6" ht="16.5">
      <c r="A26" s="1025" t="s">
        <v>2002</v>
      </c>
      <c r="B26" s="1122">
        <v>66</v>
      </c>
      <c r="C26" s="1488"/>
      <c r="D26" s="1029" t="s">
        <v>2003</v>
      </c>
      <c r="E26" s="1029" t="s">
        <v>2004</v>
      </c>
      <c r="F26" s="1102" t="s">
        <v>2005</v>
      </c>
    </row>
    <row r="27" spans="1:6" ht="16.5">
      <c r="A27" s="1025" t="s">
        <v>1426</v>
      </c>
      <c r="B27" s="1122">
        <v>33</v>
      </c>
      <c r="C27" s="1488"/>
      <c r="D27" s="1029" t="s">
        <v>2006</v>
      </c>
      <c r="E27" s="1029" t="s">
        <v>2007</v>
      </c>
      <c r="F27" s="1102" t="s">
        <v>2008</v>
      </c>
    </row>
    <row r="28" spans="1:6" ht="16.5">
      <c r="A28" s="1025" t="s">
        <v>2009</v>
      </c>
      <c r="B28" s="1122">
        <v>33</v>
      </c>
      <c r="C28" s="1488"/>
      <c r="D28" s="1029" t="s">
        <v>2010</v>
      </c>
      <c r="E28" s="1029" t="s">
        <v>2011</v>
      </c>
      <c r="F28" s="1102" t="s">
        <v>2012</v>
      </c>
    </row>
    <row r="29" spans="1:6" ht="16.5">
      <c r="A29" s="1025" t="s">
        <v>1442</v>
      </c>
      <c r="B29" s="1122">
        <v>14</v>
      </c>
      <c r="C29" s="1488"/>
      <c r="D29" s="1029" t="s">
        <v>2013</v>
      </c>
      <c r="E29" s="1029" t="s">
        <v>2014</v>
      </c>
      <c r="F29" s="1102" t="s">
        <v>2015</v>
      </c>
    </row>
    <row r="30" spans="1:6" ht="16.5">
      <c r="A30" s="1025" t="s">
        <v>2016</v>
      </c>
      <c r="B30" s="1122">
        <v>14</v>
      </c>
      <c r="C30" s="1488"/>
      <c r="D30" s="1029" t="s">
        <v>2017</v>
      </c>
      <c r="E30" s="1029" t="s">
        <v>2018</v>
      </c>
      <c r="F30" s="1102" t="s">
        <v>2019</v>
      </c>
    </row>
    <row r="31" spans="1:6" ht="16.5">
      <c r="A31" s="1025" t="s">
        <v>1444</v>
      </c>
      <c r="B31" s="1122">
        <v>12</v>
      </c>
      <c r="C31" s="1488"/>
      <c r="D31" s="1029" t="s">
        <v>2013</v>
      </c>
      <c r="E31" s="1029" t="s">
        <v>2014</v>
      </c>
      <c r="F31" s="1102" t="s">
        <v>2015</v>
      </c>
    </row>
    <row r="32" spans="1:6" ht="16.5">
      <c r="A32" s="1025" t="s">
        <v>2020</v>
      </c>
      <c r="B32" s="1122">
        <v>12</v>
      </c>
      <c r="C32" s="1488"/>
      <c r="D32" s="1029" t="s">
        <v>2017</v>
      </c>
      <c r="E32" s="1029" t="s">
        <v>2018</v>
      </c>
      <c r="F32" s="1102" t="s">
        <v>2019</v>
      </c>
    </row>
    <row r="33" spans="1:6" ht="16.5">
      <c r="A33" s="1025" t="s">
        <v>1446</v>
      </c>
      <c r="B33" s="1122">
        <v>100</v>
      </c>
      <c r="C33" s="1488"/>
      <c r="D33" s="1029" t="s">
        <v>2021</v>
      </c>
      <c r="E33" s="1029" t="s">
        <v>2022</v>
      </c>
      <c r="F33" s="1102" t="s">
        <v>2023</v>
      </c>
    </row>
    <row r="34" spans="1:6" ht="16.5">
      <c r="A34" s="1025" t="s">
        <v>2024</v>
      </c>
      <c r="B34" s="1122">
        <v>100</v>
      </c>
      <c r="C34" s="1488"/>
      <c r="D34" s="1029" t="s">
        <v>2025</v>
      </c>
      <c r="E34" s="1029" t="s">
        <v>2026</v>
      </c>
      <c r="F34" s="1102" t="s">
        <v>2027</v>
      </c>
    </row>
    <row r="35" spans="1:6" ht="16.5">
      <c r="A35" s="1025" t="s">
        <v>1448</v>
      </c>
      <c r="B35" s="1122">
        <v>12</v>
      </c>
      <c r="C35" s="1488"/>
      <c r="D35" s="1029" t="s">
        <v>2028</v>
      </c>
      <c r="E35" s="1029" t="s">
        <v>2029</v>
      </c>
      <c r="F35" s="1102" t="s">
        <v>2030</v>
      </c>
    </row>
    <row r="36" spans="1:6" ht="16.5">
      <c r="A36" s="1025" t="s">
        <v>2031</v>
      </c>
      <c r="B36" s="1122">
        <v>12</v>
      </c>
      <c r="C36" s="1488"/>
      <c r="D36" s="1029" t="s">
        <v>2032</v>
      </c>
      <c r="E36" s="1029" t="s">
        <v>2033</v>
      </c>
      <c r="F36" s="1102" t="s">
        <v>2034</v>
      </c>
    </row>
    <row r="37" spans="1:6" ht="16.5">
      <c r="A37" s="1025" t="s">
        <v>2035</v>
      </c>
      <c r="B37" s="1122">
        <v>6</v>
      </c>
      <c r="C37" s="1488"/>
      <c r="D37" s="1029" t="s">
        <v>1934</v>
      </c>
      <c r="E37" s="1029" t="s">
        <v>1935</v>
      </c>
      <c r="F37" s="1102" t="s">
        <v>1936</v>
      </c>
    </row>
    <row r="38" spans="1:6" ht="16.5">
      <c r="A38" s="1025" t="s">
        <v>2036</v>
      </c>
      <c r="B38" s="1122">
        <v>6</v>
      </c>
      <c r="C38" s="1488"/>
      <c r="D38" s="1029" t="s">
        <v>1938</v>
      </c>
      <c r="E38" s="1029" t="s">
        <v>1939</v>
      </c>
      <c r="F38" s="1102" t="s">
        <v>1940</v>
      </c>
    </row>
    <row r="39" spans="1:6" ht="16.5">
      <c r="A39" s="1044" t="s">
        <v>2037</v>
      </c>
      <c r="B39" s="1123">
        <v>55</v>
      </c>
      <c r="C39" s="1488"/>
      <c r="D39" s="1029" t="s">
        <v>2038</v>
      </c>
      <c r="E39" s="1029" t="s">
        <v>2039</v>
      </c>
      <c r="F39" s="1102" t="s">
        <v>2040</v>
      </c>
    </row>
    <row r="40" spans="1:6" ht="16.5">
      <c r="A40" s="1035" t="s">
        <v>2041</v>
      </c>
      <c r="B40" s="1123">
        <v>55</v>
      </c>
      <c r="C40" s="1488"/>
      <c r="D40" s="1029" t="s">
        <v>2042</v>
      </c>
      <c r="E40" s="1029" t="s">
        <v>2043</v>
      </c>
      <c r="F40" s="1102" t="s">
        <v>2044</v>
      </c>
    </row>
    <row r="41" spans="1:6" ht="16.5">
      <c r="A41" s="1044" t="s">
        <v>2045</v>
      </c>
      <c r="B41" s="1123">
        <v>6</v>
      </c>
      <c r="C41" s="1488"/>
      <c r="D41" s="1029" t="s">
        <v>2046</v>
      </c>
      <c r="E41" s="1029" t="s">
        <v>2047</v>
      </c>
      <c r="F41" s="1102" t="s">
        <v>2048</v>
      </c>
    </row>
    <row r="42" spans="1:6" ht="16.5">
      <c r="A42" s="1044" t="s">
        <v>2049</v>
      </c>
      <c r="B42" s="1123">
        <v>6</v>
      </c>
      <c r="C42" s="1488"/>
      <c r="D42" s="1029" t="s">
        <v>2050</v>
      </c>
      <c r="E42" s="1029" t="s">
        <v>2051</v>
      </c>
      <c r="F42" s="1102" t="s">
        <v>2052</v>
      </c>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5" orientation="portrait" horizontalDpi="0" verticalDpi="0" r:id="rId1"/>
    </customSheetView>
    <customSheetView guid="{900EF7B2-0D63-4DE2-9CFC-2D2B3788802C}">
      <selection activeCell="D4" sqref="D4"/>
      <pageMargins left="0.70866141732283472" right="0.70866141732283472" top="0.74803149606299213" bottom="0.74803149606299213" header="0.31496062992125984" footer="0.31496062992125984"/>
      <pageSetup paperSize="9" scale="65" orientation="portrait" horizontalDpi="0" verticalDpi="0" r:id="rId2"/>
    </customSheetView>
    <customSheetView guid="{CC6D6007-EFDE-464F-BD7C-A67043AC5D5C}">
      <selection activeCell="D4" sqref="D4"/>
      <pageMargins left="0.70866141732283472" right="0.70866141732283472" top="0.74803149606299213" bottom="0.74803149606299213" header="0.31496062992125984" footer="0.31496062992125984"/>
      <pageSetup paperSize="9" scale="65" orientation="portrait" horizontalDpi="0" verticalDpi="0" r:id="rId3"/>
    </customSheetView>
  </customSheetViews>
  <pageMargins left="0.70866141732283472" right="0.70866141732283472" top="0.74803149606299213" bottom="0.74803149606299213" header="0.31496062992125984" footer="0.31496062992125984"/>
  <pageSetup paperSize="9" scale="65" orientation="portrait" horizontalDpi="0" verticalDpi="0" r:id="rId4"/>
</worksheet>
</file>

<file path=xl/worksheets/sheet42.xml><?xml version="1.0" encoding="utf-8"?>
<worksheet xmlns="http://schemas.openxmlformats.org/spreadsheetml/2006/main" xmlns:r="http://schemas.openxmlformats.org/officeDocument/2006/relationships">
  <dimension ref="A1:F45"/>
  <sheetViews>
    <sheetView workbookViewId="0">
      <selection activeCell="D4" sqref="D4"/>
    </sheetView>
  </sheetViews>
  <sheetFormatPr defaultRowHeight="15"/>
  <cols>
    <col min="1" max="1" width="66.85546875" customWidth="1"/>
    <col min="2" max="2" width="14.140625" customWidth="1"/>
    <col min="3" max="3" width="6.42578125" customWidth="1"/>
    <col min="4" max="4" width="15" customWidth="1"/>
    <col min="5" max="5" width="13" customWidth="1"/>
    <col min="6" max="6" width="14" customWidth="1"/>
  </cols>
  <sheetData>
    <row r="1" spans="1:6" ht="24" thickBot="1">
      <c r="A1" s="1466" t="s">
        <v>1711</v>
      </c>
      <c r="B1" s="1467"/>
      <c r="C1" s="1467"/>
      <c r="D1" s="1467"/>
      <c r="E1" s="1467"/>
      <c r="F1" s="1468"/>
    </row>
    <row r="2" spans="1:6" ht="25.5">
      <c r="A2" s="1458" t="s">
        <v>2053</v>
      </c>
      <c r="B2" s="1024"/>
      <c r="C2" s="1033"/>
      <c r="D2" s="1426"/>
      <c r="E2" s="1426"/>
      <c r="F2" s="1426"/>
    </row>
    <row r="3" spans="1:6" ht="16.5">
      <c r="A3" s="1427"/>
      <c r="B3" s="1427"/>
      <c r="C3" s="1033"/>
      <c r="D3" s="1428"/>
      <c r="E3" s="1429"/>
      <c r="F3" s="1430"/>
    </row>
    <row r="4" spans="1:6" ht="58.5" customHeight="1">
      <c r="A4" s="1459" t="s">
        <v>781</v>
      </c>
      <c r="B4" s="1432" t="s">
        <v>1286</v>
      </c>
      <c r="C4" s="1433"/>
      <c r="D4" s="1434" t="s">
        <v>1614</v>
      </c>
      <c r="E4" s="1434" t="s">
        <v>1288</v>
      </c>
      <c r="F4" s="1435" t="s">
        <v>1615</v>
      </c>
    </row>
    <row r="5" spans="1:6" ht="16.5">
      <c r="A5" s="1013"/>
      <c r="B5" s="1013"/>
      <c r="C5" s="1045"/>
      <c r="D5" s="1014"/>
      <c r="E5" s="1014"/>
      <c r="F5" s="1014"/>
    </row>
    <row r="6" spans="1:6" ht="18.75" thickBot="1">
      <c r="A6" s="1464" t="s">
        <v>2054</v>
      </c>
      <c r="B6" s="1437" t="s">
        <v>21</v>
      </c>
      <c r="C6" s="1020"/>
      <c r="D6" s="1438"/>
      <c r="E6" s="1438"/>
      <c r="F6" s="1439"/>
    </row>
    <row r="7" spans="1:6" ht="17.25" thickTop="1">
      <c r="A7" s="1025" t="s">
        <v>1414</v>
      </c>
      <c r="B7" s="1122">
        <v>10</v>
      </c>
      <c r="C7" s="1488"/>
      <c r="D7" s="1029" t="s">
        <v>2055</v>
      </c>
      <c r="E7" s="1029" t="s">
        <v>2056</v>
      </c>
      <c r="F7" s="1102" t="s">
        <v>2057</v>
      </c>
    </row>
    <row r="8" spans="1:6" ht="16.5">
      <c r="A8" s="1025" t="s">
        <v>2058</v>
      </c>
      <c r="B8" s="1122">
        <v>10</v>
      </c>
      <c r="C8" s="1488"/>
      <c r="D8" s="1029" t="s">
        <v>2059</v>
      </c>
      <c r="E8" s="1029" t="s">
        <v>2060</v>
      </c>
      <c r="F8" s="1102" t="s">
        <v>2061</v>
      </c>
    </row>
    <row r="9" spans="1:6" ht="16.5">
      <c r="A9" s="1025" t="s">
        <v>1941</v>
      </c>
      <c r="B9" s="1122">
        <v>5</v>
      </c>
      <c r="C9" s="1488"/>
      <c r="D9" s="1029" t="s">
        <v>2062</v>
      </c>
      <c r="E9" s="1029" t="s">
        <v>2063</v>
      </c>
      <c r="F9" s="1102" t="s">
        <v>2064</v>
      </c>
    </row>
    <row r="10" spans="1:6" ht="16.5">
      <c r="A10" s="1025" t="s">
        <v>2065</v>
      </c>
      <c r="B10" s="1122">
        <v>5</v>
      </c>
      <c r="C10" s="1488"/>
      <c r="D10" s="1029" t="s">
        <v>2066</v>
      </c>
      <c r="E10" s="1029" t="s">
        <v>2067</v>
      </c>
      <c r="F10" s="1102" t="s">
        <v>2068</v>
      </c>
    </row>
    <row r="11" spans="1:6" ht="16.5">
      <c r="A11" s="1025" t="s">
        <v>1949</v>
      </c>
      <c r="B11" s="1122">
        <v>5</v>
      </c>
      <c r="C11" s="1488"/>
      <c r="D11" s="1029" t="s">
        <v>2069</v>
      </c>
      <c r="E11" s="1029" t="s">
        <v>2070</v>
      </c>
      <c r="F11" s="1102" t="s">
        <v>2071</v>
      </c>
    </row>
    <row r="12" spans="1:6" ht="16.5">
      <c r="A12" s="1025" t="s">
        <v>2072</v>
      </c>
      <c r="B12" s="1122">
        <v>5</v>
      </c>
      <c r="C12" s="1488"/>
      <c r="D12" s="1029" t="s">
        <v>2073</v>
      </c>
      <c r="E12" s="1029" t="s">
        <v>2074</v>
      </c>
      <c r="F12" s="1102" t="s">
        <v>2075</v>
      </c>
    </row>
    <row r="13" spans="1:6" ht="16.5">
      <c r="A13" s="1025" t="s">
        <v>1424</v>
      </c>
      <c r="B13" s="1122">
        <v>25</v>
      </c>
      <c r="C13" s="1488"/>
      <c r="D13" s="1029" t="s">
        <v>2076</v>
      </c>
      <c r="E13" s="1029" t="s">
        <v>2077</v>
      </c>
      <c r="F13" s="1102" t="s">
        <v>2078</v>
      </c>
    </row>
    <row r="14" spans="1:6" ht="16.5">
      <c r="A14" s="1025" t="s">
        <v>2079</v>
      </c>
      <c r="B14" s="1122">
        <v>25</v>
      </c>
      <c r="C14" s="1488"/>
      <c r="D14" s="1029" t="s">
        <v>2080</v>
      </c>
      <c r="E14" s="1029" t="s">
        <v>2081</v>
      </c>
      <c r="F14" s="1102" t="s">
        <v>2082</v>
      </c>
    </row>
    <row r="15" spans="1:6" ht="16.5">
      <c r="A15" s="1025" t="s">
        <v>1426</v>
      </c>
      <c r="B15" s="1122">
        <v>63</v>
      </c>
      <c r="C15" s="1488"/>
      <c r="D15" s="1029" t="s">
        <v>2083</v>
      </c>
      <c r="E15" s="1029" t="s">
        <v>2084</v>
      </c>
      <c r="F15" s="1102" t="s">
        <v>2085</v>
      </c>
    </row>
    <row r="16" spans="1:6" ht="16.5">
      <c r="A16" s="1025" t="s">
        <v>2086</v>
      </c>
      <c r="B16" s="1122">
        <v>63</v>
      </c>
      <c r="C16" s="1488"/>
      <c r="D16" s="1029" t="s">
        <v>2087</v>
      </c>
      <c r="E16" s="1029" t="s">
        <v>2088</v>
      </c>
      <c r="F16" s="1102" t="s">
        <v>2089</v>
      </c>
    </row>
    <row r="17" spans="1:6" ht="16.5">
      <c r="A17" s="1025" t="s">
        <v>1428</v>
      </c>
      <c r="B17" s="1122">
        <v>15</v>
      </c>
      <c r="C17" s="1488"/>
      <c r="D17" s="1029" t="s">
        <v>2090</v>
      </c>
      <c r="E17" s="1029" t="s">
        <v>2091</v>
      </c>
      <c r="F17" s="1102" t="s">
        <v>2092</v>
      </c>
    </row>
    <row r="18" spans="1:6" ht="16.5">
      <c r="A18" s="1025" t="s">
        <v>2093</v>
      </c>
      <c r="B18" s="1122">
        <v>15</v>
      </c>
      <c r="C18" s="1488"/>
      <c r="D18" s="1029" t="s">
        <v>2094</v>
      </c>
      <c r="E18" s="1029" t="s">
        <v>2095</v>
      </c>
      <c r="F18" s="1102" t="s">
        <v>2096</v>
      </c>
    </row>
    <row r="19" spans="1:6" ht="16.5">
      <c r="A19" s="1025" t="s">
        <v>1430</v>
      </c>
      <c r="B19" s="1122">
        <v>9</v>
      </c>
      <c r="C19" s="1488"/>
      <c r="D19" s="1029" t="s">
        <v>2097</v>
      </c>
      <c r="E19" s="1029" t="s">
        <v>2098</v>
      </c>
      <c r="F19" s="1102" t="s">
        <v>2099</v>
      </c>
    </row>
    <row r="20" spans="1:6" ht="16.5">
      <c r="A20" s="1025" t="s">
        <v>2100</v>
      </c>
      <c r="B20" s="1122">
        <v>9</v>
      </c>
      <c r="C20" s="1488"/>
      <c r="D20" s="1029" t="s">
        <v>2101</v>
      </c>
      <c r="E20" s="1029" t="s">
        <v>2102</v>
      </c>
      <c r="F20" s="1102" t="s">
        <v>2103</v>
      </c>
    </row>
    <row r="21" spans="1:6" ht="16.5">
      <c r="A21" s="1025" t="s">
        <v>1432</v>
      </c>
      <c r="B21" s="1122">
        <v>60</v>
      </c>
      <c r="C21" s="1488"/>
      <c r="D21" s="1029" t="s">
        <v>2104</v>
      </c>
      <c r="E21" s="1029" t="s">
        <v>2105</v>
      </c>
      <c r="F21" s="1102" t="s">
        <v>2106</v>
      </c>
    </row>
    <row r="22" spans="1:6" ht="16.5">
      <c r="A22" s="1025" t="s">
        <v>2107</v>
      </c>
      <c r="B22" s="1122">
        <v>60</v>
      </c>
      <c r="C22" s="1488"/>
      <c r="D22" s="1029" t="s">
        <v>2108</v>
      </c>
      <c r="E22" s="1029" t="s">
        <v>2109</v>
      </c>
      <c r="F22" s="1102" t="s">
        <v>2110</v>
      </c>
    </row>
    <row r="23" spans="1:6" ht="16.5">
      <c r="A23" s="1025" t="s">
        <v>1434</v>
      </c>
      <c r="B23" s="1122">
        <v>72</v>
      </c>
      <c r="C23" s="1488"/>
      <c r="D23" s="1029" t="s">
        <v>2104</v>
      </c>
      <c r="E23" s="1029" t="s">
        <v>2105</v>
      </c>
      <c r="F23" s="1102" t="s">
        <v>2106</v>
      </c>
    </row>
    <row r="24" spans="1:6" ht="16.5">
      <c r="A24" s="1025" t="s">
        <v>2111</v>
      </c>
      <c r="B24" s="1122">
        <v>72</v>
      </c>
      <c r="C24" s="1488"/>
      <c r="D24" s="1029" t="s">
        <v>2108</v>
      </c>
      <c r="E24" s="1029" t="s">
        <v>2109</v>
      </c>
      <c r="F24" s="1102" t="s">
        <v>2110</v>
      </c>
    </row>
    <row r="25" spans="1:6" ht="16.5">
      <c r="A25" s="1025" t="s">
        <v>1436</v>
      </c>
      <c r="B25" s="1122">
        <v>60</v>
      </c>
      <c r="C25" s="1488"/>
      <c r="D25" s="1029" t="s">
        <v>2112</v>
      </c>
      <c r="E25" s="1029" t="s">
        <v>2113</v>
      </c>
      <c r="F25" s="1102" t="s">
        <v>2114</v>
      </c>
    </row>
    <row r="26" spans="1:6" ht="16.5">
      <c r="A26" s="1025" t="s">
        <v>2115</v>
      </c>
      <c r="B26" s="1122">
        <v>60</v>
      </c>
      <c r="C26" s="1488"/>
      <c r="D26" s="1029" t="s">
        <v>2116</v>
      </c>
      <c r="E26" s="1029" t="s">
        <v>2117</v>
      </c>
      <c r="F26" s="1102" t="s">
        <v>2118</v>
      </c>
    </row>
    <row r="27" spans="1:6" ht="16.5">
      <c r="A27" s="1025" t="s">
        <v>1438</v>
      </c>
      <c r="B27" s="1122">
        <v>100</v>
      </c>
      <c r="C27" s="1488"/>
      <c r="D27" s="1029" t="s">
        <v>2119</v>
      </c>
      <c r="E27" s="1029" t="s">
        <v>2120</v>
      </c>
      <c r="F27" s="1102" t="s">
        <v>2121</v>
      </c>
    </row>
    <row r="28" spans="1:6" ht="16.5">
      <c r="A28" s="1025" t="s">
        <v>2122</v>
      </c>
      <c r="B28" s="1122">
        <v>100</v>
      </c>
      <c r="C28" s="1488"/>
      <c r="D28" s="1029" t="s">
        <v>2123</v>
      </c>
      <c r="E28" s="1029" t="s">
        <v>2124</v>
      </c>
      <c r="F28" s="1102" t="s">
        <v>2125</v>
      </c>
    </row>
    <row r="29" spans="1:6" ht="16.5">
      <c r="A29" s="1025" t="s">
        <v>1440</v>
      </c>
      <c r="B29" s="1122">
        <v>16</v>
      </c>
      <c r="C29" s="1488"/>
      <c r="D29" s="1029" t="s">
        <v>2126</v>
      </c>
      <c r="E29" s="1029" t="s">
        <v>2127</v>
      </c>
      <c r="F29" s="1102" t="s">
        <v>2128</v>
      </c>
    </row>
    <row r="30" spans="1:6" ht="16.5">
      <c r="A30" s="1025" t="s">
        <v>2129</v>
      </c>
      <c r="B30" s="1122">
        <v>16</v>
      </c>
      <c r="C30" s="1488"/>
      <c r="D30" s="1029" t="s">
        <v>2130</v>
      </c>
      <c r="E30" s="1029" t="s">
        <v>2131</v>
      </c>
      <c r="F30" s="1102" t="s">
        <v>2132</v>
      </c>
    </row>
    <row r="31" spans="1:6" ht="16.5">
      <c r="A31" s="1025" t="s">
        <v>1442</v>
      </c>
      <c r="B31" s="1122">
        <v>26</v>
      </c>
      <c r="C31" s="1488"/>
      <c r="D31" s="1029" t="s">
        <v>2133</v>
      </c>
      <c r="E31" s="1029" t="s">
        <v>2134</v>
      </c>
      <c r="F31" s="1102" t="s">
        <v>2135</v>
      </c>
    </row>
    <row r="32" spans="1:6" ht="16.5">
      <c r="A32" s="1025" t="s">
        <v>2136</v>
      </c>
      <c r="B32" s="1131">
        <v>26</v>
      </c>
      <c r="C32" s="1488"/>
      <c r="D32" s="1029" t="s">
        <v>2137</v>
      </c>
      <c r="E32" s="1029" t="s">
        <v>2138</v>
      </c>
      <c r="F32" s="1102" t="s">
        <v>2139</v>
      </c>
    </row>
    <row r="33" spans="1:6" ht="16.5">
      <c r="A33" s="1025" t="s">
        <v>1444</v>
      </c>
      <c r="B33" s="1131">
        <v>20</v>
      </c>
      <c r="C33" s="1488"/>
      <c r="D33" s="1029" t="s">
        <v>2133</v>
      </c>
      <c r="E33" s="1029" t="s">
        <v>2134</v>
      </c>
      <c r="F33" s="1102" t="s">
        <v>2135</v>
      </c>
    </row>
    <row r="34" spans="1:6" ht="16.5">
      <c r="A34" s="1025" t="s">
        <v>2140</v>
      </c>
      <c r="B34" s="1131">
        <v>20</v>
      </c>
      <c r="C34" s="1488"/>
      <c r="D34" s="1029" t="s">
        <v>2137</v>
      </c>
      <c r="E34" s="1029" t="s">
        <v>2138</v>
      </c>
      <c r="F34" s="1102" t="s">
        <v>2139</v>
      </c>
    </row>
    <row r="35" spans="1:6" ht="16.5">
      <c r="A35" s="1025" t="s">
        <v>1446</v>
      </c>
      <c r="B35" s="1131">
        <v>100</v>
      </c>
      <c r="C35" s="1488"/>
      <c r="D35" s="1029" t="s">
        <v>2141</v>
      </c>
      <c r="E35" s="1029" t="s">
        <v>2142</v>
      </c>
      <c r="F35" s="1102" t="s">
        <v>2143</v>
      </c>
    </row>
    <row r="36" spans="1:6" ht="16.5">
      <c r="A36" s="1025" t="s">
        <v>2144</v>
      </c>
      <c r="B36" s="1131">
        <v>100</v>
      </c>
      <c r="C36" s="1488"/>
      <c r="D36" s="1029" t="s">
        <v>2145</v>
      </c>
      <c r="E36" s="1029" t="s">
        <v>2146</v>
      </c>
      <c r="F36" s="1102" t="s">
        <v>2147</v>
      </c>
    </row>
    <row r="37" spans="1:6" ht="16.5">
      <c r="A37" s="1044" t="s">
        <v>1448</v>
      </c>
      <c r="B37" s="1132">
        <v>23</v>
      </c>
      <c r="C37" s="1488"/>
      <c r="D37" s="1029" t="s">
        <v>2148</v>
      </c>
      <c r="E37" s="1029" t="s">
        <v>2149</v>
      </c>
      <c r="F37" s="1102" t="s">
        <v>2150</v>
      </c>
    </row>
    <row r="38" spans="1:6" ht="16.5">
      <c r="A38" s="1044" t="s">
        <v>2151</v>
      </c>
      <c r="B38" s="1132">
        <v>23</v>
      </c>
      <c r="C38" s="1488"/>
      <c r="D38" s="1029" t="s">
        <v>2152</v>
      </c>
      <c r="E38" s="1029" t="s">
        <v>2153</v>
      </c>
      <c r="F38" s="1102" t="s">
        <v>2154</v>
      </c>
    </row>
    <row r="39" spans="1:6" ht="16.5">
      <c r="A39" s="1044" t="s">
        <v>1450</v>
      </c>
      <c r="B39" s="1132">
        <v>100</v>
      </c>
      <c r="C39" s="1488"/>
      <c r="D39" s="1029" t="s">
        <v>2155</v>
      </c>
      <c r="E39" s="1029" t="s">
        <v>2156</v>
      </c>
      <c r="F39" s="1102" t="s">
        <v>2157</v>
      </c>
    </row>
    <row r="40" spans="1:6" ht="16.5">
      <c r="A40" s="1035" t="s">
        <v>2158</v>
      </c>
      <c r="B40" s="1132">
        <v>100</v>
      </c>
      <c r="C40" s="1488"/>
      <c r="D40" s="1029" t="s">
        <v>2159</v>
      </c>
      <c r="E40" s="1029" t="s">
        <v>2160</v>
      </c>
      <c r="F40" s="1102" t="s">
        <v>2161</v>
      </c>
    </row>
    <row r="41" spans="1:6" ht="16.5">
      <c r="A41" s="1044" t="s">
        <v>1452</v>
      </c>
      <c r="B41" s="1132">
        <v>30</v>
      </c>
      <c r="C41" s="1488"/>
      <c r="D41" s="1029" t="s">
        <v>2162</v>
      </c>
      <c r="E41" s="1029" t="s">
        <v>2163</v>
      </c>
      <c r="F41" s="1102" t="s">
        <v>2164</v>
      </c>
    </row>
    <row r="42" spans="1:6" ht="16.5">
      <c r="A42" s="1044" t="s">
        <v>2165</v>
      </c>
      <c r="B42" s="1132">
        <v>30</v>
      </c>
      <c r="C42" s="1488"/>
      <c r="D42" s="1029" t="s">
        <v>2162</v>
      </c>
      <c r="E42" s="1029" t="s">
        <v>2163</v>
      </c>
      <c r="F42" s="1102" t="s">
        <v>2164</v>
      </c>
    </row>
    <row r="43" spans="1:6" ht="16.5">
      <c r="A43" s="1044" t="s">
        <v>1454</v>
      </c>
      <c r="B43" s="1132">
        <v>100</v>
      </c>
      <c r="C43" s="1488"/>
      <c r="D43" s="1029" t="s">
        <v>2166</v>
      </c>
      <c r="E43" s="1029" t="s">
        <v>2167</v>
      </c>
      <c r="F43" s="1102" t="s">
        <v>2168</v>
      </c>
    </row>
    <row r="44" spans="1:6" ht="16.5">
      <c r="A44" s="1032"/>
      <c r="B44" s="1032"/>
      <c r="C44" s="1033"/>
      <c r="D44" s="1441"/>
      <c r="E44" s="1441"/>
      <c r="F44" s="1441"/>
    </row>
    <row r="45" spans="1:6" ht="16.5">
      <c r="A45" s="1033"/>
      <c r="B45" s="1032"/>
      <c r="C45" s="1033"/>
      <c r="D45" s="1033"/>
      <c r="E45" s="1033"/>
      <c r="F45" s="1033"/>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5" orientation="portrait" horizontalDpi="0" verticalDpi="0" r:id="rId1"/>
    </customSheetView>
    <customSheetView guid="{900EF7B2-0D63-4DE2-9CFC-2D2B3788802C}">
      <selection activeCell="D4" sqref="D4"/>
      <pageMargins left="0.70866141732283472" right="0.70866141732283472" top="0.74803149606299213" bottom="0.74803149606299213" header="0.31496062992125984" footer="0.31496062992125984"/>
      <pageSetup paperSize="9" scale="65" orientation="portrait" horizontalDpi="0" verticalDpi="0" r:id="rId2"/>
    </customSheetView>
    <customSheetView guid="{CC6D6007-EFDE-464F-BD7C-A67043AC5D5C}">
      <selection activeCell="D4" sqref="D4"/>
      <pageMargins left="0.70866141732283472" right="0.70866141732283472" top="0.74803149606299213" bottom="0.74803149606299213" header="0.31496062992125984" footer="0.31496062992125984"/>
      <pageSetup paperSize="9" scale="65" orientation="portrait" horizontalDpi="0" verticalDpi="0" r:id="rId3"/>
    </customSheetView>
  </customSheetViews>
  <pageMargins left="0.70866141732283472" right="0.70866141732283472" top="0.74803149606299213" bottom="0.74803149606299213" header="0.31496062992125984" footer="0.31496062992125984"/>
  <pageSetup paperSize="9" scale="65" orientation="portrait" horizontalDpi="0" verticalDpi="0" r:id="rId4"/>
</worksheet>
</file>

<file path=xl/worksheets/sheet43.xml><?xml version="1.0" encoding="utf-8"?>
<worksheet xmlns="http://schemas.openxmlformats.org/spreadsheetml/2006/main" xmlns:r="http://schemas.openxmlformats.org/officeDocument/2006/relationships">
  <dimension ref="A1:F37"/>
  <sheetViews>
    <sheetView workbookViewId="0">
      <selection activeCell="D4" sqref="D4"/>
    </sheetView>
  </sheetViews>
  <sheetFormatPr defaultRowHeight="15"/>
  <cols>
    <col min="1" max="1" width="87.42578125" customWidth="1"/>
    <col min="3" max="3" width="3.5703125" customWidth="1"/>
    <col min="4" max="4" width="14.140625" customWidth="1"/>
    <col min="5" max="5" width="13.5703125" customWidth="1"/>
    <col min="6" max="6" width="14.42578125" customWidth="1"/>
  </cols>
  <sheetData>
    <row r="1" spans="1:6" ht="29.25" thickBot="1">
      <c r="A1" s="1448" t="s">
        <v>1711</v>
      </c>
      <c r="B1" s="1452"/>
      <c r="C1" s="1452"/>
      <c r="D1" s="1452"/>
      <c r="E1" s="1452"/>
      <c r="F1" s="1453"/>
    </row>
    <row r="2" spans="1:6" ht="25.5">
      <c r="A2" s="1458" t="s">
        <v>2169</v>
      </c>
      <c r="B2" s="1024"/>
      <c r="C2" s="1033"/>
      <c r="D2" s="1426"/>
      <c r="E2" s="1426"/>
      <c r="F2" s="1426"/>
    </row>
    <row r="3" spans="1:6" ht="16.5">
      <c r="A3" s="1427"/>
      <c r="B3" s="1427"/>
      <c r="C3" s="1033"/>
      <c r="D3" s="1428"/>
      <c r="E3" s="1429"/>
      <c r="F3" s="1430"/>
    </row>
    <row r="4" spans="1:6" ht="63">
      <c r="A4" s="1459" t="s">
        <v>781</v>
      </c>
      <c r="B4" s="1432" t="s">
        <v>1286</v>
      </c>
      <c r="C4" s="1433"/>
      <c r="D4" s="1434" t="s">
        <v>1614</v>
      </c>
      <c r="E4" s="1434" t="s">
        <v>1288</v>
      </c>
      <c r="F4" s="1435" t="s">
        <v>1615</v>
      </c>
    </row>
    <row r="5" spans="1:6" ht="16.5">
      <c r="A5" s="1013"/>
      <c r="B5" s="1013"/>
      <c r="C5" s="1045"/>
      <c r="D5" s="1014"/>
      <c r="E5" s="1014"/>
      <c r="F5" s="1014"/>
    </row>
    <row r="6" spans="1:6" ht="18.75" thickBot="1">
      <c r="A6" s="1464" t="s">
        <v>2170</v>
      </c>
      <c r="B6" s="1437" t="s">
        <v>21</v>
      </c>
      <c r="C6" s="1020"/>
      <c r="D6" s="1438"/>
      <c r="E6" s="1438"/>
      <c r="F6" s="1439"/>
    </row>
    <row r="7" spans="1:6" ht="17.25" thickTop="1">
      <c r="A7" s="1025" t="s">
        <v>2171</v>
      </c>
      <c r="B7" s="1131">
        <v>10</v>
      </c>
      <c r="C7" s="1488"/>
      <c r="D7" s="1029" t="s">
        <v>2172</v>
      </c>
      <c r="E7" s="1029" t="s">
        <v>2173</v>
      </c>
      <c r="F7" s="1029" t="s">
        <v>2174</v>
      </c>
    </row>
    <row r="8" spans="1:6" ht="16.5">
      <c r="A8" s="1025" t="s">
        <v>2175</v>
      </c>
      <c r="B8" s="1131">
        <v>10</v>
      </c>
      <c r="C8" s="1488"/>
      <c r="D8" s="1029" t="s">
        <v>2176</v>
      </c>
      <c r="E8" s="1029" t="s">
        <v>2177</v>
      </c>
      <c r="F8" s="1029" t="s">
        <v>2178</v>
      </c>
    </row>
    <row r="9" spans="1:6" ht="16.5">
      <c r="A9" s="1025" t="s">
        <v>2179</v>
      </c>
      <c r="B9" s="1131">
        <v>10</v>
      </c>
      <c r="C9" s="1488"/>
      <c r="D9" s="1029" t="s">
        <v>2180</v>
      </c>
      <c r="E9" s="1029" t="s">
        <v>2181</v>
      </c>
      <c r="F9" s="1029" t="s">
        <v>2182</v>
      </c>
    </row>
    <row r="10" spans="1:6" ht="16.5">
      <c r="A10" s="1025" t="s">
        <v>2183</v>
      </c>
      <c r="B10" s="1131">
        <v>10</v>
      </c>
      <c r="C10" s="1488"/>
      <c r="D10" s="1029" t="s">
        <v>2184</v>
      </c>
      <c r="E10" s="1029" t="s">
        <v>2185</v>
      </c>
      <c r="F10" s="1029" t="s">
        <v>2186</v>
      </c>
    </row>
    <row r="11" spans="1:6" ht="16.5">
      <c r="A11" s="1025" t="s">
        <v>2187</v>
      </c>
      <c r="B11" s="1131">
        <v>5</v>
      </c>
      <c r="C11" s="1488"/>
      <c r="D11" s="1029" t="s">
        <v>2188</v>
      </c>
      <c r="E11" s="1029" t="s">
        <v>2189</v>
      </c>
      <c r="F11" s="1029" t="s">
        <v>2190</v>
      </c>
    </row>
    <row r="12" spans="1:6" ht="16.5">
      <c r="A12" s="1025" t="s">
        <v>2191</v>
      </c>
      <c r="B12" s="1131">
        <v>5</v>
      </c>
      <c r="C12" s="1488"/>
      <c r="D12" s="1029" t="s">
        <v>2192</v>
      </c>
      <c r="E12" s="1029" t="s">
        <v>2193</v>
      </c>
      <c r="F12" s="1029" t="s">
        <v>2194</v>
      </c>
    </row>
    <row r="13" spans="1:6" ht="16.5">
      <c r="A13" s="1025" t="s">
        <v>2195</v>
      </c>
      <c r="B13" s="1131">
        <v>5</v>
      </c>
      <c r="C13" s="1488"/>
      <c r="D13" s="1029" t="s">
        <v>2196</v>
      </c>
      <c r="E13" s="1029" t="s">
        <v>2197</v>
      </c>
      <c r="F13" s="1029" t="s">
        <v>2198</v>
      </c>
    </row>
    <row r="14" spans="1:6" ht="16.5">
      <c r="A14" s="1025" t="s">
        <v>2199</v>
      </c>
      <c r="B14" s="1131">
        <v>5</v>
      </c>
      <c r="C14" s="1488"/>
      <c r="D14" s="1029" t="s">
        <v>2200</v>
      </c>
      <c r="E14" s="1029" t="s">
        <v>2201</v>
      </c>
      <c r="F14" s="1029" t="s">
        <v>2202</v>
      </c>
    </row>
    <row r="15" spans="1:6" ht="16.5">
      <c r="A15" s="1025" t="s">
        <v>2203</v>
      </c>
      <c r="B15" s="1131">
        <v>5</v>
      </c>
      <c r="C15" s="1488"/>
      <c r="D15" s="1029" t="s">
        <v>2204</v>
      </c>
      <c r="E15" s="1029" t="s">
        <v>2205</v>
      </c>
      <c r="F15" s="1029" t="s">
        <v>2206</v>
      </c>
    </row>
    <row r="16" spans="1:6" ht="16.5">
      <c r="A16" s="1025" t="s">
        <v>2207</v>
      </c>
      <c r="B16" s="1131">
        <v>5</v>
      </c>
      <c r="C16" s="1488"/>
      <c r="D16" s="1029" t="s">
        <v>2208</v>
      </c>
      <c r="E16" s="1029" t="s">
        <v>2209</v>
      </c>
      <c r="F16" s="1029" t="s">
        <v>2210</v>
      </c>
    </row>
    <row r="17" spans="1:6" ht="16.5">
      <c r="A17" s="1025" t="s">
        <v>2211</v>
      </c>
      <c r="B17" s="1131">
        <v>36</v>
      </c>
      <c r="C17" s="1488"/>
      <c r="D17" s="1029" t="s">
        <v>2212</v>
      </c>
      <c r="E17" s="1029" t="s">
        <v>2213</v>
      </c>
      <c r="F17" s="1029" t="s">
        <v>2214</v>
      </c>
    </row>
    <row r="18" spans="1:6" ht="16.5">
      <c r="A18" s="1025" t="s">
        <v>2215</v>
      </c>
      <c r="B18" s="1131">
        <v>36</v>
      </c>
      <c r="C18" s="1488"/>
      <c r="D18" s="1029" t="s">
        <v>2216</v>
      </c>
      <c r="E18" s="1029" t="s">
        <v>2217</v>
      </c>
      <c r="F18" s="1029" t="s">
        <v>2218</v>
      </c>
    </row>
    <row r="19" spans="1:6" ht="16.5">
      <c r="A19" s="1025" t="s">
        <v>2219</v>
      </c>
      <c r="B19" s="1131">
        <v>90</v>
      </c>
      <c r="C19" s="1488"/>
      <c r="D19" s="1029" t="s">
        <v>2220</v>
      </c>
      <c r="E19" s="1029" t="s">
        <v>2221</v>
      </c>
      <c r="F19" s="1029" t="s">
        <v>2222</v>
      </c>
    </row>
    <row r="20" spans="1:6" ht="16.5">
      <c r="A20" s="1025" t="s">
        <v>2223</v>
      </c>
      <c r="B20" s="1131">
        <v>90</v>
      </c>
      <c r="C20" s="1488"/>
      <c r="D20" s="1029" t="s">
        <v>2224</v>
      </c>
      <c r="E20" s="1029" t="s">
        <v>2225</v>
      </c>
      <c r="F20" s="1029" t="s">
        <v>2226</v>
      </c>
    </row>
    <row r="21" spans="1:6" ht="16.5">
      <c r="A21" s="1025" t="s">
        <v>2227</v>
      </c>
      <c r="B21" s="1131">
        <v>11</v>
      </c>
      <c r="C21" s="1488"/>
      <c r="D21" s="1029" t="s">
        <v>2228</v>
      </c>
      <c r="E21" s="1029" t="s">
        <v>2229</v>
      </c>
      <c r="F21" s="1029" t="s">
        <v>2230</v>
      </c>
    </row>
    <row r="22" spans="1:6" ht="16.5">
      <c r="A22" s="1025" t="s">
        <v>2231</v>
      </c>
      <c r="B22" s="1131">
        <v>11</v>
      </c>
      <c r="C22" s="1488"/>
      <c r="D22" s="1029" t="s">
        <v>2232</v>
      </c>
      <c r="E22" s="1029" t="s">
        <v>2233</v>
      </c>
      <c r="F22" s="1029" t="s">
        <v>2234</v>
      </c>
    </row>
    <row r="23" spans="1:6" ht="16.5">
      <c r="A23" s="1025" t="s">
        <v>2235</v>
      </c>
      <c r="B23" s="1131">
        <v>99</v>
      </c>
      <c r="C23" s="1488"/>
      <c r="D23" s="1029" t="s">
        <v>2155</v>
      </c>
      <c r="E23" s="1029" t="s">
        <v>2236</v>
      </c>
      <c r="F23" s="1029" t="s">
        <v>2237</v>
      </c>
    </row>
    <row r="24" spans="1:6" ht="16.5">
      <c r="A24" s="1025" t="s">
        <v>2238</v>
      </c>
      <c r="B24" s="1131">
        <v>99</v>
      </c>
      <c r="C24" s="1488"/>
      <c r="D24" s="1029" t="s">
        <v>2159</v>
      </c>
      <c r="E24" s="1029" t="s">
        <v>2239</v>
      </c>
      <c r="F24" s="1029" t="s">
        <v>2240</v>
      </c>
    </row>
    <row r="25" spans="1:6" ht="16.5">
      <c r="A25" s="1025" t="s">
        <v>2241</v>
      </c>
      <c r="B25" s="1131">
        <v>90</v>
      </c>
      <c r="C25" s="1488"/>
      <c r="D25" s="1029" t="s">
        <v>2242</v>
      </c>
      <c r="E25" s="1029" t="s">
        <v>2243</v>
      </c>
      <c r="F25" s="1029" t="s">
        <v>2244</v>
      </c>
    </row>
    <row r="26" spans="1:6" ht="16.5">
      <c r="A26" s="1025" t="s">
        <v>2245</v>
      </c>
      <c r="B26" s="1131">
        <v>90</v>
      </c>
      <c r="C26" s="1488"/>
      <c r="D26" s="1029" t="s">
        <v>2246</v>
      </c>
      <c r="E26" s="1029" t="s">
        <v>2247</v>
      </c>
      <c r="F26" s="1029" t="s">
        <v>2248</v>
      </c>
    </row>
    <row r="27" spans="1:6" ht="16.5">
      <c r="A27" s="1025" t="s">
        <v>2249</v>
      </c>
      <c r="B27" s="1131">
        <v>12</v>
      </c>
      <c r="C27" s="1488"/>
      <c r="D27" s="1029" t="s">
        <v>2250</v>
      </c>
      <c r="E27" s="1029" t="s">
        <v>2251</v>
      </c>
      <c r="F27" s="1029" t="s">
        <v>2252</v>
      </c>
    </row>
    <row r="28" spans="1:6" ht="16.5">
      <c r="A28" s="1025" t="s">
        <v>2253</v>
      </c>
      <c r="B28" s="1131">
        <v>12</v>
      </c>
      <c r="C28" s="1488"/>
      <c r="D28" s="1029" t="s">
        <v>2254</v>
      </c>
      <c r="E28" s="1029" t="s">
        <v>2255</v>
      </c>
      <c r="F28" s="1029" t="s">
        <v>2256</v>
      </c>
    </row>
    <row r="29" spans="1:6" ht="16.5">
      <c r="A29" s="1025" t="s">
        <v>2257</v>
      </c>
      <c r="B29" s="1131">
        <v>24</v>
      </c>
      <c r="C29" s="1488"/>
      <c r="D29" s="1029" t="s">
        <v>2258</v>
      </c>
      <c r="E29" s="1029" t="s">
        <v>2259</v>
      </c>
      <c r="F29" s="1029" t="s">
        <v>2260</v>
      </c>
    </row>
    <row r="30" spans="1:6" ht="16.5">
      <c r="A30" s="1025" t="s">
        <v>2261</v>
      </c>
      <c r="B30" s="1131">
        <v>24</v>
      </c>
      <c r="C30" s="1488"/>
      <c r="D30" s="1029" t="s">
        <v>2262</v>
      </c>
      <c r="E30" s="1029" t="s">
        <v>2263</v>
      </c>
      <c r="F30" s="1029" t="s">
        <v>2264</v>
      </c>
    </row>
    <row r="31" spans="1:6" ht="16.5">
      <c r="A31" s="1025" t="s">
        <v>2265</v>
      </c>
      <c r="B31" s="1131">
        <v>180</v>
      </c>
      <c r="C31" s="1488"/>
      <c r="D31" s="1029" t="s">
        <v>2266</v>
      </c>
      <c r="E31" s="1029" t="s">
        <v>2267</v>
      </c>
      <c r="F31" s="1029" t="s">
        <v>2268</v>
      </c>
    </row>
    <row r="32" spans="1:6" ht="16.5">
      <c r="A32" s="1025" t="s">
        <v>2269</v>
      </c>
      <c r="B32" s="1131">
        <v>180</v>
      </c>
      <c r="C32" s="1488"/>
      <c r="D32" s="1029" t="s">
        <v>2270</v>
      </c>
      <c r="E32" s="1029" t="s">
        <v>2271</v>
      </c>
      <c r="F32" s="1029" t="s">
        <v>2272</v>
      </c>
    </row>
    <row r="33" spans="1:6" ht="16.5">
      <c r="A33" s="1044" t="s">
        <v>2273</v>
      </c>
      <c r="B33" s="1132">
        <v>22</v>
      </c>
      <c r="C33" s="1488"/>
      <c r="D33" s="1029" t="s">
        <v>2274</v>
      </c>
      <c r="E33" s="1029" t="s">
        <v>2275</v>
      </c>
      <c r="F33" s="1029" t="s">
        <v>2276</v>
      </c>
    </row>
    <row r="34" spans="1:6" ht="16.5">
      <c r="A34" s="1044" t="s">
        <v>2277</v>
      </c>
      <c r="B34" s="1132">
        <v>22</v>
      </c>
      <c r="C34" s="1488"/>
      <c r="D34" s="1029" t="s">
        <v>2278</v>
      </c>
      <c r="E34" s="1029" t="s">
        <v>2279</v>
      </c>
      <c r="F34" s="1029" t="s">
        <v>2280</v>
      </c>
    </row>
    <row r="35" spans="1:6" ht="16.5">
      <c r="A35" s="1044" t="s">
        <v>2281</v>
      </c>
      <c r="B35" s="1132">
        <v>40</v>
      </c>
      <c r="C35" s="1488"/>
      <c r="D35" s="1029" t="s">
        <v>2282</v>
      </c>
      <c r="E35" s="1029" t="s">
        <v>2283</v>
      </c>
      <c r="F35" s="1029" t="s">
        <v>2284</v>
      </c>
    </row>
    <row r="36" spans="1:6" ht="16.5">
      <c r="A36" s="1044" t="s">
        <v>2285</v>
      </c>
      <c r="B36" s="1132">
        <v>40</v>
      </c>
      <c r="C36" s="1488"/>
      <c r="D36" s="1029" t="s">
        <v>2282</v>
      </c>
      <c r="E36" s="1029" t="s">
        <v>2283</v>
      </c>
      <c r="F36" s="1029" t="s">
        <v>2284</v>
      </c>
    </row>
    <row r="37" spans="1:6" ht="16.5">
      <c r="A37" s="1032"/>
      <c r="B37" s="1032"/>
      <c r="C37" s="1033"/>
      <c r="D37" s="1441"/>
      <c r="E37" s="1446"/>
      <c r="F37" s="1426" t="s">
        <v>1710</v>
      </c>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0" orientation="portrait" horizontalDpi="0" verticalDpi="0" r:id="rId1"/>
    </customSheetView>
    <customSheetView guid="{900EF7B2-0D63-4DE2-9CFC-2D2B3788802C}">
      <selection activeCell="D4" sqref="D4"/>
      <pageMargins left="0.70866141732283472" right="0.70866141732283472" top="0.74803149606299213" bottom="0.74803149606299213" header="0.31496062992125984" footer="0.31496062992125984"/>
      <pageSetup paperSize="9" scale="60" orientation="portrait" horizontalDpi="0" verticalDpi="0" r:id="rId2"/>
    </customSheetView>
    <customSheetView guid="{CC6D6007-EFDE-464F-BD7C-A67043AC5D5C}">
      <selection activeCell="D4" sqref="D4"/>
      <pageMargins left="0.70866141732283472" right="0.70866141732283472" top="0.74803149606299213" bottom="0.74803149606299213" header="0.31496062992125984" footer="0.31496062992125984"/>
      <pageSetup paperSize="9" scale="60" orientation="portrait" horizontalDpi="0" verticalDpi="0" r:id="rId3"/>
    </customSheetView>
  </customSheetViews>
  <pageMargins left="0.70866141732283472" right="0.70866141732283472" top="0.74803149606299213" bottom="0.74803149606299213" header="0.31496062992125984" footer="0.31496062992125984"/>
  <pageSetup paperSize="9" scale="60" orientation="portrait" horizontalDpi="0" verticalDpi="0" r:id="rId4"/>
</worksheet>
</file>

<file path=xl/worksheets/sheet44.xml><?xml version="1.0" encoding="utf-8"?>
<worksheet xmlns="http://schemas.openxmlformats.org/spreadsheetml/2006/main" xmlns:r="http://schemas.openxmlformats.org/officeDocument/2006/relationships">
  <dimension ref="A1:G42"/>
  <sheetViews>
    <sheetView workbookViewId="0">
      <selection activeCell="D4" sqref="D4"/>
    </sheetView>
  </sheetViews>
  <sheetFormatPr defaultRowHeight="15"/>
  <cols>
    <col min="1" max="1" width="74" customWidth="1"/>
    <col min="2" max="2" width="14.28515625" customWidth="1"/>
    <col min="3" max="3" width="5.5703125" customWidth="1"/>
    <col min="4" max="4" width="16.7109375" customWidth="1"/>
    <col min="5" max="5" width="16.85546875" customWidth="1"/>
    <col min="6" max="6" width="18" customWidth="1"/>
  </cols>
  <sheetData>
    <row r="1" spans="1:7" ht="29.25" thickBot="1">
      <c r="A1" s="1448" t="s">
        <v>1711</v>
      </c>
      <c r="B1" s="1452"/>
      <c r="C1" s="1452"/>
      <c r="D1" s="1452"/>
      <c r="E1" s="1452"/>
      <c r="F1" s="1453"/>
    </row>
    <row r="2" spans="1:7" ht="25.5">
      <c r="A2" s="1458" t="s">
        <v>2286</v>
      </c>
      <c r="B2" s="1024"/>
      <c r="C2" s="1033"/>
      <c r="D2" s="1426"/>
      <c r="E2" s="1426"/>
      <c r="F2" s="1426"/>
      <c r="G2" s="1469"/>
    </row>
    <row r="3" spans="1:7" ht="16.5">
      <c r="A3" s="1427"/>
      <c r="B3" s="1427"/>
      <c r="C3" s="1033"/>
      <c r="D3" s="1428"/>
      <c r="E3" s="1429"/>
      <c r="F3" s="1430"/>
      <c r="G3" s="1032"/>
    </row>
    <row r="4" spans="1:7" ht="47.25">
      <c r="A4" s="1459" t="s">
        <v>781</v>
      </c>
      <c r="B4" s="1432" t="s">
        <v>1286</v>
      </c>
      <c r="C4" s="1433"/>
      <c r="D4" s="1434" t="s">
        <v>1614</v>
      </c>
      <c r="E4" s="1434" t="s">
        <v>1288</v>
      </c>
      <c r="F4" s="1435" t="s">
        <v>1615</v>
      </c>
      <c r="G4" s="1011"/>
    </row>
    <row r="5" spans="1:7" ht="16.5">
      <c r="A5" s="1013"/>
      <c r="B5" s="1013"/>
      <c r="C5" s="1045"/>
      <c r="D5" s="1014"/>
      <c r="E5" s="1014"/>
      <c r="F5" s="1014"/>
      <c r="G5" s="1032"/>
    </row>
    <row r="6" spans="1:7" ht="18.75" thickBot="1">
      <c r="A6" s="1464" t="s">
        <v>1383</v>
      </c>
      <c r="B6" s="1437" t="s">
        <v>21</v>
      </c>
      <c r="C6" s="1020"/>
      <c r="D6" s="1438"/>
      <c r="E6" s="1438"/>
      <c r="F6" s="1439"/>
      <c r="G6" s="1024"/>
    </row>
    <row r="7" spans="1:7" ht="17.25" thickTop="1">
      <c r="A7" s="1025" t="s">
        <v>2287</v>
      </c>
      <c r="B7" s="1122">
        <v>10</v>
      </c>
      <c r="C7" s="1440"/>
      <c r="D7" s="1029" t="s">
        <v>2288</v>
      </c>
      <c r="E7" s="1029" t="s">
        <v>2289</v>
      </c>
      <c r="F7" s="1102" t="s">
        <v>2290</v>
      </c>
      <c r="G7" s="1489"/>
    </row>
    <row r="8" spans="1:7" ht="16.5">
      <c r="A8" s="1025" t="s">
        <v>2291</v>
      </c>
      <c r="B8" s="1122">
        <v>10</v>
      </c>
      <c r="C8" s="1440"/>
      <c r="D8" s="1029" t="s">
        <v>2292</v>
      </c>
      <c r="E8" s="1029" t="s">
        <v>2293</v>
      </c>
      <c r="F8" s="1102" t="s">
        <v>2294</v>
      </c>
      <c r="G8" s="1489"/>
    </row>
    <row r="9" spans="1:7" ht="16.5">
      <c r="A9" s="1025" t="s">
        <v>2295</v>
      </c>
      <c r="B9" s="1122">
        <v>10</v>
      </c>
      <c r="C9" s="1440"/>
      <c r="D9" s="1029" t="s">
        <v>2296</v>
      </c>
      <c r="E9" s="1029" t="s">
        <v>2297</v>
      </c>
      <c r="F9" s="1102" t="s">
        <v>2298</v>
      </c>
      <c r="G9" s="1489"/>
    </row>
    <row r="10" spans="1:7" ht="16.5">
      <c r="A10" s="1025" t="s">
        <v>2299</v>
      </c>
      <c r="B10" s="1122">
        <v>10</v>
      </c>
      <c r="C10" s="1440"/>
      <c r="D10" s="1029" t="s">
        <v>2300</v>
      </c>
      <c r="E10" s="1029" t="s">
        <v>2301</v>
      </c>
      <c r="F10" s="1102" t="s">
        <v>2302</v>
      </c>
      <c r="G10" s="1489"/>
    </row>
    <row r="11" spans="1:7" ht="16.5">
      <c r="A11" s="1025" t="s">
        <v>2303</v>
      </c>
      <c r="B11" s="1122">
        <v>10</v>
      </c>
      <c r="C11" s="1440"/>
      <c r="D11" s="1029" t="s">
        <v>2300</v>
      </c>
      <c r="E11" s="1029" t="s">
        <v>2301</v>
      </c>
      <c r="F11" s="1102" t="s">
        <v>2302</v>
      </c>
      <c r="G11" s="1489"/>
    </row>
    <row r="12" spans="1:7" ht="16.5">
      <c r="A12" s="1025" t="s">
        <v>2304</v>
      </c>
      <c r="B12" s="1122">
        <v>10</v>
      </c>
      <c r="C12" s="1440"/>
      <c r="D12" s="1029" t="s">
        <v>2305</v>
      </c>
      <c r="E12" s="1029" t="s">
        <v>2306</v>
      </c>
      <c r="F12" s="1102" t="s">
        <v>2307</v>
      </c>
      <c r="G12" s="1489"/>
    </row>
    <row r="13" spans="1:7" ht="16.5">
      <c r="A13" s="1490"/>
      <c r="B13" s="1032"/>
      <c r="C13" s="1045"/>
      <c r="D13" s="1441"/>
      <c r="E13" s="1441"/>
      <c r="F13" s="1441"/>
      <c r="G13" s="1032"/>
    </row>
    <row r="14" spans="1:7" ht="16.5">
      <c r="A14" s="1032"/>
      <c r="B14" s="1032"/>
      <c r="C14" s="1033"/>
      <c r="D14" s="1013"/>
      <c r="E14" s="1013"/>
      <c r="F14" s="1491"/>
      <c r="G14" s="1032"/>
    </row>
    <row r="15" spans="1:7" ht="18.75" thickBot="1">
      <c r="A15" s="1464" t="s">
        <v>1390</v>
      </c>
      <c r="B15" s="1437" t="s">
        <v>21</v>
      </c>
      <c r="C15" s="1020"/>
      <c r="D15" s="1438"/>
      <c r="E15" s="1438"/>
      <c r="F15" s="1439"/>
      <c r="G15" s="1024"/>
    </row>
    <row r="16" spans="1:7" ht="17.25" thickTop="1">
      <c r="A16" s="1025" t="s">
        <v>2308</v>
      </c>
      <c r="B16" s="1122">
        <v>10</v>
      </c>
      <c r="C16" s="1440"/>
      <c r="D16" s="1029" t="s">
        <v>2309</v>
      </c>
      <c r="E16" s="1029" t="s">
        <v>2310</v>
      </c>
      <c r="F16" s="1102" t="s">
        <v>2311</v>
      </c>
      <c r="G16" s="1030"/>
    </row>
    <row r="17" spans="1:7" ht="16.5">
      <c r="A17" s="1025" t="s">
        <v>2312</v>
      </c>
      <c r="B17" s="1122">
        <v>12</v>
      </c>
      <c r="C17" s="1440"/>
      <c r="D17" s="1029" t="s">
        <v>2313</v>
      </c>
      <c r="E17" s="1029" t="s">
        <v>2311</v>
      </c>
      <c r="F17" s="1102" t="s">
        <v>2314</v>
      </c>
      <c r="G17" s="1030"/>
    </row>
    <row r="18" spans="1:7" ht="16.5">
      <c r="A18" s="1025" t="s">
        <v>2315</v>
      </c>
      <c r="B18" s="1122">
        <v>10</v>
      </c>
      <c r="C18" s="1440"/>
      <c r="D18" s="1029" t="s">
        <v>2313</v>
      </c>
      <c r="E18" s="1029" t="s">
        <v>2311</v>
      </c>
      <c r="F18" s="1102" t="s">
        <v>2314</v>
      </c>
      <c r="G18" s="1030"/>
    </row>
    <row r="19" spans="1:7" ht="16.5">
      <c r="A19" s="1025" t="s">
        <v>2316</v>
      </c>
      <c r="B19" s="1122">
        <v>9</v>
      </c>
      <c r="C19" s="1440"/>
      <c r="D19" s="1029" t="s">
        <v>2313</v>
      </c>
      <c r="E19" s="1029" t="s">
        <v>2311</v>
      </c>
      <c r="F19" s="1102" t="s">
        <v>2314</v>
      </c>
      <c r="G19" s="1030"/>
    </row>
    <row r="20" spans="1:7" ht="16.5">
      <c r="A20" s="1025" t="s">
        <v>2317</v>
      </c>
      <c r="B20" s="1122">
        <v>7</v>
      </c>
      <c r="C20" s="1440"/>
      <c r="D20" s="1029" t="s">
        <v>2313</v>
      </c>
      <c r="E20" s="1029" t="s">
        <v>2311</v>
      </c>
      <c r="F20" s="1102" t="s">
        <v>2314</v>
      </c>
      <c r="G20" s="1030"/>
    </row>
    <row r="21" spans="1:7" ht="16.5">
      <c r="A21" s="1025" t="s">
        <v>2318</v>
      </c>
      <c r="B21" s="1122">
        <v>8</v>
      </c>
      <c r="C21" s="1440"/>
      <c r="D21" s="1029" t="s">
        <v>2313</v>
      </c>
      <c r="E21" s="1029" t="s">
        <v>2311</v>
      </c>
      <c r="F21" s="1102" t="s">
        <v>2314</v>
      </c>
      <c r="G21" s="1030"/>
    </row>
    <row r="22" spans="1:7" ht="16.5">
      <c r="A22" s="1032"/>
      <c r="B22" s="1032"/>
      <c r="C22" s="1033"/>
      <c r="D22" s="1441"/>
      <c r="E22" s="1441"/>
      <c r="F22" s="1441"/>
      <c r="G22" s="1032"/>
    </row>
    <row r="23" spans="1:7" ht="16.5">
      <c r="A23" s="1032"/>
      <c r="B23" s="1032"/>
      <c r="C23" s="1033"/>
      <c r="D23" s="1492"/>
      <c r="E23" s="1492"/>
      <c r="F23" s="1033"/>
      <c r="G23" s="1032"/>
    </row>
    <row r="24" spans="1:7" ht="18.75" thickBot="1">
      <c r="A24" s="1464" t="s">
        <v>1397</v>
      </c>
      <c r="B24" s="1437" t="s">
        <v>21</v>
      </c>
      <c r="C24" s="1020"/>
      <c r="D24" s="1438"/>
      <c r="E24" s="1438"/>
      <c r="F24" s="1439"/>
      <c r="G24" s="1024"/>
    </row>
    <row r="25" spans="1:7" ht="17.25" thickTop="1">
      <c r="A25" s="1044" t="s">
        <v>2319</v>
      </c>
      <c r="B25" s="1123">
        <v>30</v>
      </c>
      <c r="C25" s="1440"/>
      <c r="D25" s="1029" t="s">
        <v>2320</v>
      </c>
      <c r="E25" s="1029" t="s">
        <v>2321</v>
      </c>
      <c r="F25" s="1102" t="s">
        <v>2322</v>
      </c>
      <c r="G25" s="1030"/>
    </row>
    <row r="26" spans="1:7" ht="16.5">
      <c r="A26" s="1044" t="s">
        <v>2323</v>
      </c>
      <c r="B26" s="1123">
        <v>30</v>
      </c>
      <c r="C26" s="1440"/>
      <c r="D26" s="1029" t="s">
        <v>2324</v>
      </c>
      <c r="E26" s="1029" t="s">
        <v>2325</v>
      </c>
      <c r="F26" s="1102" t="s">
        <v>2326</v>
      </c>
      <c r="G26" s="1030"/>
    </row>
    <row r="27" spans="1:7" ht="16.5">
      <c r="A27" s="1044" t="s">
        <v>2327</v>
      </c>
      <c r="B27" s="1123">
        <v>80</v>
      </c>
      <c r="C27" s="1440"/>
      <c r="D27" s="1029" t="s">
        <v>2328</v>
      </c>
      <c r="E27" s="1029" t="s">
        <v>2329</v>
      </c>
      <c r="F27" s="1102" t="s">
        <v>2330</v>
      </c>
      <c r="G27" s="1030"/>
    </row>
    <row r="28" spans="1:7" ht="16.5">
      <c r="A28" s="1044" t="s">
        <v>2331</v>
      </c>
      <c r="B28" s="1123">
        <v>50</v>
      </c>
      <c r="C28" s="1440"/>
      <c r="D28" s="1029" t="s">
        <v>2328</v>
      </c>
      <c r="E28" s="1029" t="s">
        <v>2329</v>
      </c>
      <c r="F28" s="1102" t="s">
        <v>2330</v>
      </c>
      <c r="G28" s="1030"/>
    </row>
    <row r="29" spans="1:7" ht="16.5">
      <c r="A29" s="1044" t="s">
        <v>1402</v>
      </c>
      <c r="B29" s="1123">
        <v>20</v>
      </c>
      <c r="C29" s="1440"/>
      <c r="D29" s="1029" t="s">
        <v>2332</v>
      </c>
      <c r="E29" s="1029" t="s">
        <v>2333</v>
      </c>
      <c r="F29" s="1102" t="s">
        <v>2334</v>
      </c>
      <c r="G29" s="1030"/>
    </row>
    <row r="30" spans="1:7" ht="16.5">
      <c r="A30" s="1044" t="s">
        <v>1403</v>
      </c>
      <c r="B30" s="1123">
        <v>20</v>
      </c>
      <c r="C30" s="1440"/>
      <c r="D30" s="1029" t="s">
        <v>2335</v>
      </c>
      <c r="E30" s="1029" t="s">
        <v>2336</v>
      </c>
      <c r="F30" s="1102" t="s">
        <v>2337</v>
      </c>
      <c r="G30" s="1030"/>
    </row>
    <row r="31" spans="1:7" ht="16.5">
      <c r="A31" s="1044" t="s">
        <v>1404</v>
      </c>
      <c r="B31" s="1123">
        <v>20</v>
      </c>
      <c r="C31" s="1440"/>
      <c r="D31" s="1029" t="s">
        <v>2338</v>
      </c>
      <c r="E31" s="1029" t="s">
        <v>2339</v>
      </c>
      <c r="F31" s="1102" t="s">
        <v>2340</v>
      </c>
      <c r="G31" s="1030"/>
    </row>
    <row r="32" spans="1:7" ht="16.5">
      <c r="A32" s="1044" t="s">
        <v>1405</v>
      </c>
      <c r="B32" s="1123">
        <v>20</v>
      </c>
      <c r="C32" s="1440"/>
      <c r="D32" s="1029" t="s">
        <v>2341</v>
      </c>
      <c r="E32" s="1029" t="s">
        <v>2342</v>
      </c>
      <c r="F32" s="1102" t="s">
        <v>2343</v>
      </c>
      <c r="G32" s="1030"/>
    </row>
    <row r="33" spans="1:7" ht="16.5">
      <c r="A33" s="1044" t="s">
        <v>1406</v>
      </c>
      <c r="B33" s="1123">
        <v>12</v>
      </c>
      <c r="C33" s="1440"/>
      <c r="D33" s="1029" t="s">
        <v>2344</v>
      </c>
      <c r="E33" s="1029" t="s">
        <v>2345</v>
      </c>
      <c r="F33" s="1102" t="s">
        <v>2346</v>
      </c>
      <c r="G33" s="1030"/>
    </row>
    <row r="34" spans="1:7" ht="16.5">
      <c r="A34" s="1044" t="s">
        <v>1407</v>
      </c>
      <c r="B34" s="1123">
        <v>20</v>
      </c>
      <c r="C34" s="1440"/>
      <c r="D34" s="1029" t="s">
        <v>2347</v>
      </c>
      <c r="E34" s="1029" t="s">
        <v>2348</v>
      </c>
      <c r="F34" s="1102" t="s">
        <v>2096</v>
      </c>
      <c r="G34" s="1030"/>
    </row>
    <row r="35" spans="1:7" ht="16.5">
      <c r="A35" s="1044" t="s">
        <v>1408</v>
      </c>
      <c r="B35" s="1123">
        <v>96</v>
      </c>
      <c r="C35" s="1440"/>
      <c r="D35" s="1029" t="s">
        <v>2349</v>
      </c>
      <c r="E35" s="1029" t="s">
        <v>2350</v>
      </c>
      <c r="F35" s="1102" t="s">
        <v>2351</v>
      </c>
      <c r="G35" s="1030"/>
    </row>
    <row r="36" spans="1:7" ht="16.5">
      <c r="A36" s="1044" t="s">
        <v>1409</v>
      </c>
      <c r="B36" s="1123">
        <v>30</v>
      </c>
      <c r="C36" s="1440"/>
      <c r="D36" s="1029" t="s">
        <v>2352</v>
      </c>
      <c r="E36" s="1029" t="s">
        <v>2353</v>
      </c>
      <c r="F36" s="1102" t="s">
        <v>2354</v>
      </c>
      <c r="G36" s="1030"/>
    </row>
    <row r="37" spans="1:7" ht="16.5">
      <c r="A37" s="1032"/>
      <c r="B37" s="1032"/>
      <c r="C37" s="1033"/>
      <c r="D37" s="1441"/>
      <c r="E37" s="1441"/>
      <c r="F37" s="1441"/>
      <c r="G37" s="1032"/>
    </row>
    <row r="38" spans="1:7" ht="16.5">
      <c r="A38" s="1033"/>
      <c r="B38" s="1033"/>
      <c r="C38" s="1033"/>
      <c r="D38" s="1492"/>
      <c r="E38" s="1492"/>
      <c r="F38" s="1033"/>
      <c r="G38" s="1032"/>
    </row>
    <row r="39" spans="1:7" ht="17.25" thickBot="1">
      <c r="A39" s="1436" t="s">
        <v>1410</v>
      </c>
      <c r="B39" s="1437" t="s">
        <v>21</v>
      </c>
      <c r="C39" s="1020"/>
      <c r="D39" s="1438"/>
      <c r="E39" s="1438"/>
      <c r="F39" s="1439"/>
      <c r="G39" s="1024"/>
    </row>
    <row r="40" spans="1:7" ht="17.25" thickTop="1">
      <c r="A40" s="1044" t="s">
        <v>1411</v>
      </c>
      <c r="B40" s="1123">
        <v>20</v>
      </c>
      <c r="C40" s="1440"/>
      <c r="D40" s="1029" t="s">
        <v>2355</v>
      </c>
      <c r="E40" s="1029" t="s">
        <v>2356</v>
      </c>
      <c r="F40" s="1102" t="s">
        <v>2357</v>
      </c>
      <c r="G40" s="1030"/>
    </row>
    <row r="41" spans="1:7" ht="33">
      <c r="A41" s="1032"/>
      <c r="B41" s="1490"/>
      <c r="C41" s="1033"/>
      <c r="D41" s="1013"/>
      <c r="F41" s="1447" t="s">
        <v>1710</v>
      </c>
      <c r="G41" s="1493"/>
    </row>
    <row r="42" spans="1:7" ht="16.5">
      <c r="A42" s="1033"/>
      <c r="B42" s="1033"/>
      <c r="C42" s="1032"/>
      <c r="D42" s="1492"/>
      <c r="E42" s="1492"/>
      <c r="F42" s="1032"/>
      <c r="G42" s="1032"/>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0" orientation="portrait" horizontalDpi="0" verticalDpi="0" r:id="rId1"/>
    </customSheetView>
    <customSheetView guid="{900EF7B2-0D63-4DE2-9CFC-2D2B3788802C}">
      <selection activeCell="D4" sqref="D4"/>
      <pageMargins left="0.70866141732283472" right="0.70866141732283472" top="0.74803149606299213" bottom="0.74803149606299213" header="0.31496062992125984" footer="0.31496062992125984"/>
      <pageSetup paperSize="9" scale="60" orientation="portrait" horizontalDpi="0" verticalDpi="0" r:id="rId2"/>
    </customSheetView>
    <customSheetView guid="{CC6D6007-EFDE-464F-BD7C-A67043AC5D5C}">
      <selection activeCell="D4" sqref="D4"/>
      <pageMargins left="0.70866141732283472" right="0.70866141732283472" top="0.74803149606299213" bottom="0.74803149606299213" header="0.31496062992125984" footer="0.31496062992125984"/>
      <pageSetup paperSize="9" scale="60" orientation="portrait" horizontalDpi="0" verticalDpi="0" r:id="rId3"/>
    </customSheetView>
  </customSheetViews>
  <pageMargins left="0.70866141732283472" right="0.70866141732283472" top="0.74803149606299213" bottom="0.74803149606299213" header="0.31496062992125984" footer="0.31496062992125984"/>
  <pageSetup paperSize="9" scale="60" orientation="portrait" horizontalDpi="0" verticalDpi="0" r:id="rId4"/>
</worksheet>
</file>

<file path=xl/worksheets/sheet45.xml><?xml version="1.0" encoding="utf-8"?>
<worksheet xmlns="http://schemas.openxmlformats.org/spreadsheetml/2006/main" xmlns:r="http://schemas.openxmlformats.org/officeDocument/2006/relationships">
  <dimension ref="A1:G17"/>
  <sheetViews>
    <sheetView workbookViewId="0">
      <selection sqref="A1:F1"/>
    </sheetView>
  </sheetViews>
  <sheetFormatPr defaultRowHeight="15"/>
  <cols>
    <col min="1" max="1" width="48.42578125" customWidth="1"/>
    <col min="3" max="3" width="6.5703125" customWidth="1"/>
    <col min="4" max="4" width="16" customWidth="1"/>
    <col min="5" max="5" width="15.28515625" customWidth="1"/>
    <col min="6" max="6" width="13.7109375" customWidth="1"/>
  </cols>
  <sheetData>
    <row r="1" spans="1:7" ht="21.75" thickBot="1">
      <c r="A1" s="1449" t="s">
        <v>1711</v>
      </c>
      <c r="B1" s="1450"/>
      <c r="C1" s="1450"/>
      <c r="D1" s="1450"/>
      <c r="E1" s="1450"/>
      <c r="F1" s="1451"/>
    </row>
    <row r="2" spans="1:7" ht="25.5">
      <c r="A2" s="1458" t="s">
        <v>2358</v>
      </c>
      <c r="B2" s="1024"/>
      <c r="C2" s="1494"/>
      <c r="D2" s="1426"/>
      <c r="E2" s="1426"/>
      <c r="F2" s="1426"/>
      <c r="G2" s="1469"/>
    </row>
    <row r="3" spans="1:7" ht="16.5">
      <c r="A3" s="1427"/>
      <c r="B3" s="1427"/>
      <c r="C3" s="1494"/>
      <c r="D3" s="1428"/>
      <c r="E3" s="1429"/>
      <c r="F3" s="1430"/>
      <c r="G3" s="1032"/>
    </row>
    <row r="4" spans="1:7" ht="63">
      <c r="A4" s="1459" t="s">
        <v>781</v>
      </c>
      <c r="B4" s="1432" t="s">
        <v>1286</v>
      </c>
      <c r="C4" s="1433"/>
      <c r="D4" s="1434" t="s">
        <v>1614</v>
      </c>
      <c r="E4" s="1434" t="s">
        <v>1288</v>
      </c>
      <c r="F4" s="1435" t="s">
        <v>1615</v>
      </c>
      <c r="G4" s="1011"/>
    </row>
    <row r="5" spans="1:7" ht="16.5">
      <c r="A5" s="1013"/>
      <c r="B5" s="1013"/>
      <c r="C5" s="1488"/>
      <c r="D5" s="1014"/>
      <c r="E5" s="1014"/>
      <c r="F5" s="1014"/>
      <c r="G5" s="1032"/>
    </row>
    <row r="6" spans="1:7" ht="18.75" thickBot="1">
      <c r="A6" s="1464" t="s">
        <v>2359</v>
      </c>
      <c r="B6" s="1437" t="s">
        <v>21</v>
      </c>
      <c r="C6" s="1495"/>
      <c r="D6" s="1438"/>
      <c r="E6" s="1438"/>
      <c r="F6" s="1439"/>
      <c r="G6" s="1024"/>
    </row>
    <row r="7" spans="1:7" ht="17.25" thickTop="1">
      <c r="A7" s="1025" t="s">
        <v>2360</v>
      </c>
      <c r="B7" s="1122">
        <v>1</v>
      </c>
      <c r="C7" s="1488"/>
      <c r="D7" s="1029" t="s">
        <v>2361</v>
      </c>
      <c r="E7" s="1029" t="s">
        <v>2362</v>
      </c>
      <c r="F7" s="1102" t="s">
        <v>2363</v>
      </c>
      <c r="G7" s="1030"/>
    </row>
    <row r="8" spans="1:7" ht="16.5">
      <c r="A8" s="1025" t="s">
        <v>2364</v>
      </c>
      <c r="B8" s="1122">
        <v>1</v>
      </c>
      <c r="C8" s="1488"/>
      <c r="D8" s="1029" t="s">
        <v>2365</v>
      </c>
      <c r="E8" s="1029" t="s">
        <v>2366</v>
      </c>
      <c r="F8" s="1102" t="s">
        <v>2367</v>
      </c>
      <c r="G8" s="1030"/>
    </row>
    <row r="9" spans="1:7" ht="16.5">
      <c r="A9" s="1025" t="s">
        <v>2368</v>
      </c>
      <c r="B9" s="1122">
        <v>1</v>
      </c>
      <c r="C9" s="1488"/>
      <c r="D9" s="1029" t="s">
        <v>2369</v>
      </c>
      <c r="E9" s="1029" t="s">
        <v>2370</v>
      </c>
      <c r="F9" s="1102" t="s">
        <v>2371</v>
      </c>
      <c r="G9" s="1030"/>
    </row>
    <row r="10" spans="1:7" ht="16.5">
      <c r="A10" s="1025" t="s">
        <v>2372</v>
      </c>
      <c r="B10" s="1122">
        <v>2</v>
      </c>
      <c r="C10" s="1488"/>
      <c r="D10" s="1029" t="s">
        <v>2373</v>
      </c>
      <c r="E10" s="1029" t="s">
        <v>2374</v>
      </c>
      <c r="F10" s="1102" t="s">
        <v>2375</v>
      </c>
      <c r="G10" s="1030"/>
    </row>
    <row r="11" spans="1:7" ht="16.5">
      <c r="A11" s="1032"/>
      <c r="B11" s="1032"/>
      <c r="C11" s="1494"/>
      <c r="D11" s="1441"/>
      <c r="E11" s="1441"/>
      <c r="F11" s="1441"/>
      <c r="G11" s="1032"/>
    </row>
    <row r="12" spans="1:7" ht="16.5">
      <c r="A12" s="1032"/>
      <c r="B12" s="1032"/>
      <c r="C12" s="1496"/>
      <c r="D12" s="1014"/>
      <c r="E12" s="1014"/>
      <c r="F12" s="1014"/>
      <c r="G12" s="1032"/>
    </row>
    <row r="13" spans="1:7" ht="18.75" thickBot="1">
      <c r="A13" s="1464" t="s">
        <v>2376</v>
      </c>
      <c r="B13" s="1437" t="s">
        <v>21</v>
      </c>
      <c r="C13" s="1495"/>
      <c r="D13" s="1438"/>
      <c r="E13" s="1438"/>
      <c r="F13" s="1439"/>
      <c r="G13" s="1024"/>
    </row>
    <row r="14" spans="1:7" ht="17.25" thickTop="1">
      <c r="A14" s="1025" t="s">
        <v>2377</v>
      </c>
      <c r="B14" s="1122">
        <v>2</v>
      </c>
      <c r="C14" s="1488"/>
      <c r="D14" s="1029" t="s">
        <v>2378</v>
      </c>
      <c r="E14" s="1029" t="s">
        <v>2379</v>
      </c>
      <c r="F14" s="1102" t="s">
        <v>2380</v>
      </c>
      <c r="G14" s="1030"/>
    </row>
    <row r="15" spans="1:7" ht="16.5">
      <c r="A15" s="1025" t="s">
        <v>2381</v>
      </c>
      <c r="B15" s="1122">
        <v>1</v>
      </c>
      <c r="C15" s="1488"/>
      <c r="D15" s="1029" t="s">
        <v>2382</v>
      </c>
      <c r="E15" s="1029" t="s">
        <v>2383</v>
      </c>
      <c r="F15" s="1102" t="s">
        <v>2384</v>
      </c>
      <c r="G15" s="1030"/>
    </row>
    <row r="16" spans="1:7" ht="16.5">
      <c r="A16" s="1032"/>
      <c r="B16" s="1032"/>
      <c r="C16" s="1494"/>
      <c r="D16" s="1441"/>
      <c r="E16" s="1446"/>
      <c r="F16" s="1426" t="s">
        <v>1710</v>
      </c>
      <c r="G16" s="1032"/>
    </row>
    <row r="17" spans="1:7" ht="16.5">
      <c r="A17" s="1032"/>
      <c r="B17" s="1032"/>
      <c r="C17" s="1494"/>
      <c r="D17" s="1033"/>
      <c r="E17" s="1033"/>
      <c r="F17" s="1033"/>
      <c r="G17" s="1033"/>
    </row>
  </sheetData>
  <customSheetViews>
    <customSheetView guid="{FBB3E572-A647-4B8C-96C7-F43FE4F7CAA8}" showPageBreaks="1">
      <selection sqref="A1:F1"/>
      <pageMargins left="0.70866141732283472" right="0.70866141732283472" top="0.74803149606299213" bottom="0.74803149606299213" header="0.31496062992125984" footer="0.31496062992125984"/>
      <pageSetup paperSize="9" scale="75" orientation="portrait" horizontalDpi="0" verticalDpi="0" r:id="rId1"/>
    </customSheetView>
    <customSheetView guid="{900EF7B2-0D63-4DE2-9CFC-2D2B3788802C}" topLeftCell="A10">
      <selection activeCell="J14" sqref="J14"/>
      <pageMargins left="0.70866141732283472" right="0.70866141732283472" top="0.74803149606299213" bottom="0.74803149606299213" header="0.31496062992125984" footer="0.31496062992125984"/>
      <pageSetup paperSize="9" scale="75" orientation="portrait" horizontalDpi="0" verticalDpi="0" r:id="rId2"/>
    </customSheetView>
    <customSheetView guid="{CC6D6007-EFDE-464F-BD7C-A67043AC5D5C}" topLeftCell="A10">
      <selection activeCell="J14" sqref="J14"/>
      <pageMargins left="0.70866141732283472" right="0.70866141732283472" top="0.74803149606299213" bottom="0.74803149606299213" header="0.31496062992125984" footer="0.31496062992125984"/>
      <pageSetup paperSize="9" scale="75" orientation="portrait" horizontalDpi="0" verticalDpi="0" r:id="rId3"/>
    </customSheetView>
  </customSheetViews>
  <pageMargins left="0.70866141732283472" right="0.70866141732283472" top="0.74803149606299213" bottom="0.74803149606299213" header="0.31496062992125984" footer="0.31496062992125984"/>
  <pageSetup paperSize="9" scale="75" orientation="portrait" horizontalDpi="0" verticalDpi="0" r:id="rId4"/>
</worksheet>
</file>

<file path=xl/worksheets/sheet46.xml><?xml version="1.0" encoding="utf-8"?>
<worksheet xmlns="http://schemas.openxmlformats.org/spreadsheetml/2006/main" xmlns:r="http://schemas.openxmlformats.org/officeDocument/2006/relationships">
  <dimension ref="A1:V43"/>
  <sheetViews>
    <sheetView topLeftCell="A25" workbookViewId="0">
      <selection sqref="A1:G1"/>
    </sheetView>
  </sheetViews>
  <sheetFormatPr defaultRowHeight="15"/>
  <cols>
    <col min="1" max="1" width="32.42578125" customWidth="1"/>
    <col min="2" max="2" width="29" customWidth="1"/>
    <col min="3" max="3" width="30.42578125" customWidth="1"/>
    <col min="4" max="4" width="26.42578125" customWidth="1"/>
    <col min="5" max="5" width="30" customWidth="1"/>
    <col min="7" max="8" width="15.42578125" bestFit="1" customWidth="1"/>
    <col min="12" max="12" width="10.140625" bestFit="1" customWidth="1"/>
  </cols>
  <sheetData>
    <row r="1" spans="1:22" ht="21.75" thickBot="1">
      <c r="A1" s="1449" t="s">
        <v>1711</v>
      </c>
      <c r="B1" s="1450"/>
      <c r="C1" s="1450"/>
      <c r="D1" s="1450"/>
      <c r="E1" s="1450"/>
      <c r="F1" s="1451"/>
      <c r="G1" s="1517">
        <v>43588</v>
      </c>
    </row>
    <row r="2" spans="1:22" ht="47.25" thickBot="1">
      <c r="A2" s="1519" t="s">
        <v>2385</v>
      </c>
      <c r="B2" s="1520"/>
      <c r="C2" s="1521"/>
      <c r="D2" s="1521"/>
      <c r="E2" s="1521"/>
      <c r="F2" s="1521"/>
      <c r="G2" s="1521"/>
    </row>
    <row r="3" spans="1:22" ht="15.75" thickBot="1">
      <c r="A3" s="1498" t="s">
        <v>1136</v>
      </c>
      <c r="B3" s="1499" t="s">
        <v>2386</v>
      </c>
      <c r="C3" s="1499" t="s">
        <v>2387</v>
      </c>
      <c r="D3" s="1499" t="s">
        <v>2388</v>
      </c>
      <c r="E3" s="1499" t="s">
        <v>2389</v>
      </c>
      <c r="H3" s="1515"/>
    </row>
    <row r="4" spans="1:22" ht="97.5" customHeight="1">
      <c r="A4" s="1500"/>
      <c r="B4" s="1505"/>
      <c r="C4" s="1505"/>
      <c r="D4" s="1505"/>
      <c r="E4" s="1736" t="s">
        <v>2397</v>
      </c>
    </row>
    <row r="5" spans="1:22" ht="21">
      <c r="A5" s="1501" t="s">
        <v>2390</v>
      </c>
      <c r="B5" s="1505" t="s">
        <v>2393</v>
      </c>
      <c r="C5" s="1505" t="s">
        <v>2416</v>
      </c>
      <c r="D5" s="1505" t="s">
        <v>2395</v>
      </c>
      <c r="E5" s="1737"/>
    </row>
    <row r="6" spans="1:22" ht="24">
      <c r="A6" s="1502" t="s">
        <v>2391</v>
      </c>
      <c r="B6" s="1505"/>
      <c r="C6" s="1505" t="s">
        <v>2394</v>
      </c>
      <c r="D6" s="1505" t="s">
        <v>2</v>
      </c>
      <c r="E6" s="1737"/>
    </row>
    <row r="7" spans="1:22" ht="15.75" thickBot="1">
      <c r="A7" s="1502" t="s">
        <v>2392</v>
      </c>
      <c r="B7" s="1506"/>
      <c r="C7" s="1506"/>
      <c r="D7" s="1505"/>
      <c r="E7" s="1737"/>
    </row>
    <row r="8" spans="1:22">
      <c r="A8" s="1502"/>
      <c r="B8" s="1505"/>
      <c r="C8" s="1505"/>
      <c r="D8" s="1505" t="s">
        <v>2396</v>
      </c>
      <c r="E8" s="1737"/>
    </row>
    <row r="9" spans="1:22">
      <c r="A9" s="1503"/>
      <c r="B9" s="1505" t="s">
        <v>2398</v>
      </c>
      <c r="C9" s="1505" t="s">
        <v>2417</v>
      </c>
      <c r="D9" s="1507"/>
      <c r="E9" s="1737"/>
    </row>
    <row r="10" spans="1:22" ht="15" customHeight="1" thickBot="1">
      <c r="A10" s="1504"/>
      <c r="B10" s="1508" t="s">
        <v>2399</v>
      </c>
      <c r="C10" s="1508" t="s">
        <v>2418</v>
      </c>
      <c r="D10" s="1506"/>
      <c r="E10" s="1738"/>
    </row>
    <row r="11" spans="1:22" ht="21">
      <c r="A11" s="1501"/>
      <c r="B11" s="1505"/>
      <c r="C11" s="1505"/>
      <c r="D11" s="1505"/>
      <c r="E11" s="1736" t="s">
        <v>2402</v>
      </c>
    </row>
    <row r="12" spans="1:22" ht="21.75" thickBot="1">
      <c r="A12" s="1501" t="s">
        <v>2400</v>
      </c>
      <c r="B12" s="1505"/>
      <c r="C12" s="1505" t="s">
        <v>2419</v>
      </c>
      <c r="D12" s="1505"/>
      <c r="E12" s="1737"/>
    </row>
    <row r="13" spans="1:22" ht="24.75" thickBot="1">
      <c r="A13" s="1502" t="s">
        <v>2401</v>
      </c>
      <c r="B13" s="1505" t="s">
        <v>2393</v>
      </c>
      <c r="C13" s="1505" t="s">
        <v>2420</v>
      </c>
      <c r="D13" s="1505" t="s">
        <v>2395</v>
      </c>
      <c r="E13" s="1737"/>
      <c r="R13" s="1450"/>
      <c r="S13" s="1450"/>
      <c r="T13" s="1450"/>
      <c r="U13" s="1451"/>
      <c r="V13" s="1516">
        <v>43588</v>
      </c>
    </row>
    <row r="14" spans="1:22">
      <c r="A14" s="1502" t="s">
        <v>2392</v>
      </c>
      <c r="B14" s="1505"/>
      <c r="C14" s="1507"/>
      <c r="D14" s="1505" t="s">
        <v>2</v>
      </c>
      <c r="E14" s="1737"/>
      <c r="U14" s="1497">
        <v>43588</v>
      </c>
    </row>
    <row r="15" spans="1:22">
      <c r="A15" s="1503"/>
      <c r="B15" s="1507"/>
      <c r="C15" s="1507"/>
      <c r="D15" s="1505"/>
      <c r="E15" s="1737"/>
    </row>
    <row r="16" spans="1:22" ht="15.75" thickBot="1">
      <c r="A16" s="1503"/>
      <c r="B16" s="1506"/>
      <c r="C16" s="1506"/>
      <c r="D16" s="1505" t="s">
        <v>2396</v>
      </c>
      <c r="E16" s="1737"/>
    </row>
    <row r="17" spans="1:5">
      <c r="A17" s="1503"/>
      <c r="B17" s="1505"/>
      <c r="C17" s="1505"/>
      <c r="D17" s="1505"/>
      <c r="E17" s="1737"/>
    </row>
    <row r="18" spans="1:5">
      <c r="A18" s="1503"/>
      <c r="B18" s="1505" t="s">
        <v>2398</v>
      </c>
      <c r="C18" s="1505" t="s">
        <v>2421</v>
      </c>
      <c r="D18" s="1507"/>
      <c r="E18" s="1737"/>
    </row>
    <row r="19" spans="1:5" ht="30.75" customHeight="1">
      <c r="A19" s="1503"/>
      <c r="B19" s="1505" t="s">
        <v>2399</v>
      </c>
      <c r="C19" s="1505" t="s">
        <v>2422</v>
      </c>
      <c r="D19" s="1507"/>
      <c r="E19" s="1737"/>
    </row>
    <row r="20" spans="1:5" ht="12.75" customHeight="1" thickBot="1">
      <c r="A20" s="1504"/>
      <c r="B20" s="1506"/>
      <c r="C20" s="1508"/>
      <c r="D20" s="1506"/>
      <c r="E20" s="1738"/>
    </row>
    <row r="21" spans="1:5" ht="48">
      <c r="A21" s="1501"/>
      <c r="B21" s="1505"/>
      <c r="C21" s="1505"/>
      <c r="D21" s="1505"/>
      <c r="E21" s="1525" t="s">
        <v>2406</v>
      </c>
    </row>
    <row r="22" spans="1:5" ht="24">
      <c r="A22" s="1501" t="s">
        <v>2403</v>
      </c>
      <c r="B22" s="1505"/>
      <c r="C22" s="1505" t="s">
        <v>2419</v>
      </c>
      <c r="D22" s="1505"/>
      <c r="E22" s="1525" t="s">
        <v>2407</v>
      </c>
    </row>
    <row r="23" spans="1:5" ht="24">
      <c r="A23" s="1502" t="s">
        <v>2404</v>
      </c>
      <c r="B23" s="1505" t="s">
        <v>2393</v>
      </c>
      <c r="C23" s="1505" t="s">
        <v>2423</v>
      </c>
      <c r="D23" s="1505"/>
      <c r="E23" s="1525" t="s">
        <v>2408</v>
      </c>
    </row>
    <row r="24" spans="1:5" ht="15.75" thickBot="1">
      <c r="A24" s="1502" t="s">
        <v>2392</v>
      </c>
      <c r="B24" s="1508"/>
      <c r="C24" s="1506"/>
      <c r="D24" s="1505" t="s">
        <v>2405</v>
      </c>
      <c r="E24" s="1509"/>
    </row>
    <row r="25" spans="1:5">
      <c r="A25" s="1503"/>
      <c r="B25" s="1505"/>
      <c r="C25" s="1505"/>
      <c r="D25" s="1505" t="s">
        <v>2</v>
      </c>
      <c r="E25" s="1510"/>
    </row>
    <row r="26" spans="1:5">
      <c r="A26" s="1503"/>
      <c r="B26" s="1505"/>
      <c r="C26" s="1505"/>
      <c r="D26" s="1507"/>
      <c r="E26" s="1510"/>
    </row>
    <row r="27" spans="1:5">
      <c r="A27" s="1503"/>
      <c r="B27" s="1505" t="s">
        <v>2398</v>
      </c>
      <c r="C27" s="1505" t="s">
        <v>2424</v>
      </c>
      <c r="D27" s="1507"/>
      <c r="E27" s="1510"/>
    </row>
    <row r="28" spans="1:5" ht="22.5" customHeight="1" thickBot="1">
      <c r="A28" s="1503"/>
      <c r="B28" s="1505" t="s">
        <v>2409</v>
      </c>
      <c r="C28" s="1505" t="s">
        <v>2425</v>
      </c>
      <c r="D28" s="1507"/>
      <c r="E28" s="1510"/>
    </row>
    <row r="29" spans="1:5" ht="2.25" hidden="1" customHeight="1" thickBot="1">
      <c r="A29" s="1504"/>
      <c r="B29" s="1508"/>
      <c r="C29" s="1506"/>
      <c r="D29" s="1506"/>
      <c r="E29" s="1511"/>
    </row>
    <row r="30" spans="1:5" ht="113.25" customHeight="1">
      <c r="A30" s="1501"/>
      <c r="B30" s="1513"/>
      <c r="C30" s="1514"/>
      <c r="D30" s="1505"/>
      <c r="E30" s="1736" t="s">
        <v>2415</v>
      </c>
    </row>
    <row r="31" spans="1:5" ht="21">
      <c r="A31" s="1501" t="s">
        <v>2410</v>
      </c>
      <c r="B31" s="1513"/>
      <c r="C31" s="1514"/>
      <c r="D31" s="1505"/>
      <c r="E31" s="1737"/>
    </row>
    <row r="32" spans="1:5" ht="36">
      <c r="A32" s="1502" t="s">
        <v>2411</v>
      </c>
      <c r="B32" s="1505"/>
      <c r="C32" s="1505"/>
      <c r="D32" s="1505"/>
      <c r="E32" s="1737"/>
    </row>
    <row r="33" spans="1:7">
      <c r="A33" s="1502"/>
      <c r="B33" s="1505" t="s">
        <v>2412</v>
      </c>
      <c r="C33" s="1505" t="s">
        <v>2426</v>
      </c>
      <c r="D33" s="1505" t="s">
        <v>2414</v>
      </c>
      <c r="E33" s="1737"/>
    </row>
    <row r="34" spans="1:7" ht="13.5" customHeight="1" thickBot="1">
      <c r="A34" s="1512"/>
      <c r="B34" s="1508" t="s">
        <v>2413</v>
      </c>
      <c r="C34" s="1506"/>
      <c r="D34" s="1508" t="s">
        <v>2</v>
      </c>
      <c r="E34" s="1738"/>
    </row>
    <row r="36" spans="1:7" ht="42.75" customHeight="1">
      <c r="A36" s="1523" t="s">
        <v>2427</v>
      </c>
      <c r="B36" s="1518"/>
      <c r="C36" s="1518"/>
      <c r="D36" s="1518"/>
      <c r="E36" s="1518"/>
      <c r="F36" s="1518"/>
      <c r="G36" s="1522">
        <v>43588</v>
      </c>
    </row>
    <row r="37" spans="1:7">
      <c r="A37" s="1524" t="s">
        <v>1136</v>
      </c>
      <c r="B37" s="1524" t="s">
        <v>2428</v>
      </c>
    </row>
    <row r="38" spans="1:7">
      <c r="A38" s="571" t="s">
        <v>2429</v>
      </c>
      <c r="B38" s="571" t="s">
        <v>2437</v>
      </c>
    </row>
    <row r="39" spans="1:7">
      <c r="A39" s="571" t="s">
        <v>2430</v>
      </c>
      <c r="B39" s="571" t="s">
        <v>2435</v>
      </c>
    </row>
    <row r="40" spans="1:7">
      <c r="A40" s="571" t="s">
        <v>2431</v>
      </c>
      <c r="B40" s="571" t="s">
        <v>2436</v>
      </c>
    </row>
    <row r="41" spans="1:7">
      <c r="A41" s="571" t="s">
        <v>2432</v>
      </c>
      <c r="B41" s="571" t="s">
        <v>2438</v>
      </c>
    </row>
    <row r="42" spans="1:7">
      <c r="A42" s="571" t="s">
        <v>2433</v>
      </c>
      <c r="B42" s="571" t="s">
        <v>2439</v>
      </c>
    </row>
    <row r="43" spans="1:7">
      <c r="A43" s="571" t="s">
        <v>2434</v>
      </c>
      <c r="B43" s="571" t="s">
        <v>2440</v>
      </c>
    </row>
  </sheetData>
  <customSheetViews>
    <customSheetView guid="{FBB3E572-A647-4B8C-96C7-F43FE4F7CAA8}" showPageBreaks="1" hiddenRows="1" topLeftCell="A25">
      <selection sqref="A1:G1"/>
      <pageMargins left="0.70866141732283472" right="0.70866141732283472" top="0.74803149606299213" bottom="0.74803149606299213" header="0.31496062992125984" footer="0.31496062992125984"/>
      <pageSetup paperSize="9" scale="75" orientation="landscape" horizontalDpi="0" verticalDpi="0" r:id="rId1"/>
    </customSheetView>
    <customSheetView guid="{900EF7B2-0D63-4DE2-9CFC-2D2B3788802C}" hiddenRows="1" topLeftCell="A28">
      <selection activeCell="C43" sqref="C43"/>
      <pageMargins left="0.70866141732283472" right="0.70866141732283472" top="0.74803149606299213" bottom="0.74803149606299213" header="0.31496062992125984" footer="0.31496062992125984"/>
      <pageSetup paperSize="9" scale="75" orientation="landscape" horizontalDpi="0" verticalDpi="0" r:id="rId2"/>
    </customSheetView>
  </customSheetViews>
  <mergeCells count="3">
    <mergeCell ref="E4:E10"/>
    <mergeCell ref="E11:E20"/>
    <mergeCell ref="E30:E34"/>
  </mergeCells>
  <pageMargins left="0.70866141732283472" right="0.70866141732283472" top="0.74803149606299213" bottom="0.74803149606299213" header="0.31496062992125984" footer="0.31496062992125984"/>
  <pageSetup paperSize="9" scale="75" orientation="landscape" horizontalDpi="0" verticalDpi="0" r:id="rId3"/>
</worksheet>
</file>

<file path=xl/worksheets/sheet47.xml><?xml version="1.0" encoding="utf-8"?>
<worksheet xmlns="http://schemas.openxmlformats.org/spreadsheetml/2006/main" xmlns:r="http://schemas.openxmlformats.org/officeDocument/2006/relationships">
  <dimension ref="A1:O45"/>
  <sheetViews>
    <sheetView workbookViewId="0">
      <selection activeCell="Q13" sqref="Q13"/>
    </sheetView>
  </sheetViews>
  <sheetFormatPr defaultRowHeight="15"/>
  <cols>
    <col min="1" max="1" width="4.7109375" customWidth="1"/>
    <col min="2" max="2" width="20.42578125" customWidth="1"/>
    <col min="3" max="3" width="36" customWidth="1"/>
    <col min="5" max="14" width="9.140625" hidden="1" customWidth="1"/>
    <col min="15" max="15" width="18.28515625" customWidth="1"/>
  </cols>
  <sheetData>
    <row r="1" spans="1:15" ht="19.5" thickBot="1">
      <c r="A1" s="1535" t="s">
        <v>2508</v>
      </c>
      <c r="B1" s="1536"/>
      <c r="C1" s="1536"/>
      <c r="D1" s="1536"/>
      <c r="E1" s="1536"/>
      <c r="F1" s="1537"/>
      <c r="G1" s="1538"/>
      <c r="H1" s="1536"/>
      <c r="I1" s="1536"/>
      <c r="J1" s="1536"/>
      <c r="K1" s="1536"/>
      <c r="L1" s="1536"/>
      <c r="M1" s="1536"/>
      <c r="N1" s="1536"/>
      <c r="O1" s="1537"/>
    </row>
    <row r="2" spans="1:15" ht="21">
      <c r="A2" s="1268"/>
      <c r="B2" s="1268"/>
      <c r="C2" s="1558" t="s">
        <v>2510</v>
      </c>
      <c r="D2" s="1268"/>
      <c r="E2" s="1268"/>
      <c r="F2" s="1268"/>
      <c r="G2" s="1268"/>
      <c r="H2" s="1268"/>
      <c r="I2" s="1268"/>
      <c r="J2" s="1268"/>
      <c r="K2" s="1268"/>
      <c r="L2" s="1268"/>
      <c r="M2" s="1268"/>
      <c r="N2" s="1268"/>
      <c r="O2" s="1268"/>
    </row>
    <row r="3" spans="1:15" ht="1.5" customHeight="1">
      <c r="A3" s="1268"/>
      <c r="B3" s="1268"/>
      <c r="C3" s="1268"/>
      <c r="D3" s="1268"/>
      <c r="E3" s="1268"/>
      <c r="F3" s="1268"/>
      <c r="G3" s="1268"/>
      <c r="H3" s="1268"/>
      <c r="I3" s="1268"/>
      <c r="J3" s="1268"/>
      <c r="K3" s="1268"/>
      <c r="L3" s="1268"/>
      <c r="M3" s="1268"/>
      <c r="N3" s="1268"/>
      <c r="O3" s="1268"/>
    </row>
    <row r="4" spans="1:15" ht="75">
      <c r="A4" s="1541" t="s">
        <v>2443</v>
      </c>
      <c r="B4" s="1542" t="s">
        <v>2444</v>
      </c>
      <c r="C4" s="1542" t="s">
        <v>2445</v>
      </c>
      <c r="D4" s="1543" t="s">
        <v>2446</v>
      </c>
      <c r="E4" s="1526" t="s">
        <v>2447</v>
      </c>
      <c r="F4" s="1526" t="s">
        <v>2448</v>
      </c>
      <c r="G4" s="1526" t="s">
        <v>2449</v>
      </c>
      <c r="H4" s="1526" t="s">
        <v>2450</v>
      </c>
      <c r="I4" s="1526" t="s">
        <v>2451</v>
      </c>
      <c r="J4" s="1526" t="s">
        <v>2452</v>
      </c>
      <c r="K4" s="1526" t="s">
        <v>2453</v>
      </c>
      <c r="L4" s="1527" t="s">
        <v>2454</v>
      </c>
      <c r="M4" s="1527" t="s">
        <v>2455</v>
      </c>
      <c r="N4" s="1004" t="s">
        <v>2456</v>
      </c>
      <c r="O4" s="1544" t="s">
        <v>2509</v>
      </c>
    </row>
    <row r="5" spans="1:15" ht="4.5" customHeight="1" thickBot="1">
      <c r="A5" s="1545"/>
      <c r="B5" s="1545"/>
      <c r="C5" s="1545"/>
      <c r="D5" s="1545"/>
      <c r="E5" s="1546">
        <v>-15</v>
      </c>
      <c r="F5" s="1547">
        <v>-0.02</v>
      </c>
      <c r="G5" s="1546">
        <v>-6</v>
      </c>
      <c r="H5" s="1547">
        <v>0</v>
      </c>
      <c r="I5" s="1547">
        <v>0.05</v>
      </c>
      <c r="J5" s="1547">
        <v>7.0000000000000007E-2</v>
      </c>
      <c r="K5" s="1547">
        <v>0.1</v>
      </c>
      <c r="L5" s="1548">
        <v>0.22</v>
      </c>
      <c r="M5" s="1548">
        <v>0.2</v>
      </c>
      <c r="N5" s="1268"/>
      <c r="O5" s="1554"/>
    </row>
    <row r="6" spans="1:15" ht="15.75">
      <c r="A6" s="1549">
        <v>1</v>
      </c>
      <c r="B6" s="1550" t="s">
        <v>2457</v>
      </c>
      <c r="C6" s="1528" t="s">
        <v>2458</v>
      </c>
      <c r="D6" s="1539">
        <v>30</v>
      </c>
      <c r="E6" s="1529">
        <v>184</v>
      </c>
      <c r="F6" s="1530">
        <v>195.02</v>
      </c>
      <c r="G6" s="1529">
        <v>193</v>
      </c>
      <c r="H6" s="1529">
        <v>199</v>
      </c>
      <c r="I6" s="1529">
        <v>208.95</v>
      </c>
      <c r="J6" s="1529">
        <v>212.93</v>
      </c>
      <c r="K6" s="1529">
        <v>218.9</v>
      </c>
      <c r="L6" s="1529">
        <v>242.78</v>
      </c>
      <c r="M6" s="1529">
        <v>291.33600000000001</v>
      </c>
      <c r="N6" s="1531">
        <f t="shared" ref="N6:N45" si="0">E6*0.98</f>
        <v>180.32</v>
      </c>
      <c r="O6" s="1555">
        <v>246</v>
      </c>
    </row>
    <row r="7" spans="1:15" ht="15.75">
      <c r="A7" s="1549">
        <v>2</v>
      </c>
      <c r="B7" s="1550" t="s">
        <v>2457</v>
      </c>
      <c r="C7" s="1528" t="s">
        <v>2459</v>
      </c>
      <c r="D7" s="1539">
        <v>30</v>
      </c>
      <c r="E7" s="1529">
        <v>175</v>
      </c>
      <c r="F7" s="1530">
        <v>186.2</v>
      </c>
      <c r="G7" s="1529">
        <v>184</v>
      </c>
      <c r="H7" s="1529">
        <v>190</v>
      </c>
      <c r="I7" s="1529">
        <v>199.5</v>
      </c>
      <c r="J7" s="1529">
        <v>203.3</v>
      </c>
      <c r="K7" s="1529">
        <v>209</v>
      </c>
      <c r="L7" s="1529">
        <v>231.8</v>
      </c>
      <c r="M7" s="1529">
        <v>278.16000000000003</v>
      </c>
      <c r="N7" s="1531">
        <f t="shared" si="0"/>
        <v>171.5</v>
      </c>
      <c r="O7" s="1556">
        <v>235</v>
      </c>
    </row>
    <row r="8" spans="1:15" ht="15.75">
      <c r="A8" s="1549">
        <v>3</v>
      </c>
      <c r="B8" s="1550" t="s">
        <v>2460</v>
      </c>
      <c r="C8" s="1528" t="s">
        <v>2461</v>
      </c>
      <c r="D8" s="1539">
        <v>25</v>
      </c>
      <c r="E8" s="1529">
        <v>145</v>
      </c>
      <c r="F8" s="1530">
        <v>156.80000000000001</v>
      </c>
      <c r="G8" s="1529">
        <v>154</v>
      </c>
      <c r="H8" s="1529">
        <v>160</v>
      </c>
      <c r="I8" s="1529">
        <v>168</v>
      </c>
      <c r="J8" s="1529">
        <v>171.2</v>
      </c>
      <c r="K8" s="1529">
        <v>176</v>
      </c>
      <c r="L8" s="1529">
        <v>195.2</v>
      </c>
      <c r="M8" s="1529">
        <v>234.23999999999998</v>
      </c>
      <c r="N8" s="1531">
        <f t="shared" si="0"/>
        <v>142.1</v>
      </c>
      <c r="O8" s="1556">
        <v>200</v>
      </c>
    </row>
    <row r="9" spans="1:15" ht="15.75">
      <c r="A9" s="1549">
        <v>4</v>
      </c>
      <c r="B9" s="1550" t="s">
        <v>2462</v>
      </c>
      <c r="C9" s="1528" t="s">
        <v>2463</v>
      </c>
      <c r="D9" s="1539">
        <v>20</v>
      </c>
      <c r="E9" s="1529">
        <v>271.88524590163934</v>
      </c>
      <c r="F9" s="1530">
        <v>281.14754098360652</v>
      </c>
      <c r="G9" s="1529">
        <v>280.88524590163934</v>
      </c>
      <c r="H9" s="1529">
        <v>286.88524590163934</v>
      </c>
      <c r="I9" s="1529">
        <v>301.22950819672133</v>
      </c>
      <c r="J9" s="1529">
        <v>306.96721311475409</v>
      </c>
      <c r="K9" s="1529">
        <v>315.57377049180326</v>
      </c>
      <c r="L9" s="1529">
        <v>350</v>
      </c>
      <c r="M9" s="1529">
        <v>420</v>
      </c>
      <c r="N9" s="1531">
        <f t="shared" si="0"/>
        <v>266.44754098360653</v>
      </c>
      <c r="O9" s="1556">
        <v>350</v>
      </c>
    </row>
    <row r="10" spans="1:15" ht="15.75">
      <c r="A10" s="1549">
        <v>5</v>
      </c>
      <c r="B10" s="1550" t="s">
        <v>2464</v>
      </c>
      <c r="C10" s="1528" t="s">
        <v>2465</v>
      </c>
      <c r="D10" s="1539">
        <v>20</v>
      </c>
      <c r="E10" s="1529">
        <v>189.91803278688525</v>
      </c>
      <c r="F10" s="1530">
        <v>200.81967213114754</v>
      </c>
      <c r="G10" s="1529">
        <v>198.91803278688525</v>
      </c>
      <c r="H10" s="1529">
        <v>204.91803278688525</v>
      </c>
      <c r="I10" s="1529">
        <v>215.1639344262295</v>
      </c>
      <c r="J10" s="1529">
        <v>219.26229508196721</v>
      </c>
      <c r="K10" s="1529">
        <v>225.40983606557378</v>
      </c>
      <c r="L10" s="1529">
        <v>250</v>
      </c>
      <c r="M10" s="1529">
        <v>300</v>
      </c>
      <c r="N10" s="1531">
        <f t="shared" si="0"/>
        <v>186.11967213114755</v>
      </c>
      <c r="O10" s="1556">
        <v>253</v>
      </c>
    </row>
    <row r="11" spans="1:15" ht="15.75">
      <c r="A11" s="1549">
        <v>6</v>
      </c>
      <c r="B11" s="1550" t="s">
        <v>2466</v>
      </c>
      <c r="C11" s="1528" t="s">
        <v>2467</v>
      </c>
      <c r="D11" s="1539">
        <v>20</v>
      </c>
      <c r="E11" s="1529">
        <v>189.91803278688525</v>
      </c>
      <c r="F11" s="1530">
        <v>200.81967213114754</v>
      </c>
      <c r="G11" s="1529">
        <v>198.91803278688525</v>
      </c>
      <c r="H11" s="1529">
        <v>204.91803278688525</v>
      </c>
      <c r="I11" s="1529">
        <v>215.1639344262295</v>
      </c>
      <c r="J11" s="1529">
        <v>219.26229508196721</v>
      </c>
      <c r="K11" s="1529">
        <v>225.40983606557378</v>
      </c>
      <c r="L11" s="1529">
        <v>250</v>
      </c>
      <c r="M11" s="1529">
        <v>300</v>
      </c>
      <c r="N11" s="1531">
        <f t="shared" si="0"/>
        <v>186.11967213114755</v>
      </c>
      <c r="O11" s="1556">
        <v>253</v>
      </c>
    </row>
    <row r="12" spans="1:15" ht="15.75">
      <c r="A12" s="1549">
        <v>7</v>
      </c>
      <c r="B12" s="1550" t="s">
        <v>2466</v>
      </c>
      <c r="C12" s="1528" t="s">
        <v>2468</v>
      </c>
      <c r="D12" s="1539">
        <v>25</v>
      </c>
      <c r="E12" s="1529">
        <v>189.91803278688525</v>
      </c>
      <c r="F12" s="1530">
        <v>200.81967213114754</v>
      </c>
      <c r="G12" s="1529">
        <v>198.91803278688525</v>
      </c>
      <c r="H12" s="1529">
        <v>204.91803278688525</v>
      </c>
      <c r="I12" s="1529">
        <v>215.1639344262295</v>
      </c>
      <c r="J12" s="1529">
        <v>219.26229508196721</v>
      </c>
      <c r="K12" s="1529">
        <v>225.40983606557378</v>
      </c>
      <c r="L12" s="1529">
        <v>250</v>
      </c>
      <c r="M12" s="1529">
        <v>300</v>
      </c>
      <c r="N12" s="1531">
        <f t="shared" si="0"/>
        <v>186.11967213114755</v>
      </c>
      <c r="O12" s="1556">
        <v>253</v>
      </c>
    </row>
    <row r="13" spans="1:15" ht="15.75">
      <c r="A13" s="1549">
        <v>8</v>
      </c>
      <c r="B13" s="1550" t="s">
        <v>2469</v>
      </c>
      <c r="C13" s="1528" t="s">
        <v>2470</v>
      </c>
      <c r="D13" s="1539">
        <v>25</v>
      </c>
      <c r="E13" s="1529">
        <v>111.36612021857925</v>
      </c>
      <c r="F13" s="1530">
        <v>123.83879781420767</v>
      </c>
      <c r="G13" s="1529">
        <v>120.36612021857925</v>
      </c>
      <c r="H13" s="1529">
        <v>126.36612021857925</v>
      </c>
      <c r="I13" s="1529">
        <v>132.6844262295082</v>
      </c>
      <c r="J13" s="1529">
        <v>135.21174863387981</v>
      </c>
      <c r="K13" s="1529">
        <v>139.00273224043718</v>
      </c>
      <c r="L13" s="1529">
        <v>154.16666666666669</v>
      </c>
      <c r="M13" s="1529">
        <v>185.00000000000003</v>
      </c>
      <c r="N13" s="1531">
        <f t="shared" si="0"/>
        <v>109.13879781420766</v>
      </c>
      <c r="O13" s="1556">
        <v>160</v>
      </c>
    </row>
    <row r="14" spans="1:15" ht="15.75">
      <c r="A14" s="1549">
        <v>9</v>
      </c>
      <c r="B14" s="1550" t="s">
        <v>2469</v>
      </c>
      <c r="C14" s="1528" t="s">
        <v>2471</v>
      </c>
      <c r="D14" s="1539">
        <v>25</v>
      </c>
      <c r="E14" s="1529">
        <v>153</v>
      </c>
      <c r="F14" s="1530">
        <v>164.64</v>
      </c>
      <c r="G14" s="1529">
        <v>162</v>
      </c>
      <c r="H14" s="1529">
        <v>168</v>
      </c>
      <c r="I14" s="1529">
        <v>176.4</v>
      </c>
      <c r="J14" s="1529">
        <v>179.76</v>
      </c>
      <c r="K14" s="1529">
        <v>184.8</v>
      </c>
      <c r="L14" s="1529">
        <v>204.96</v>
      </c>
      <c r="M14" s="1529">
        <v>245.952</v>
      </c>
      <c r="N14" s="1531">
        <f t="shared" si="0"/>
        <v>149.94</v>
      </c>
      <c r="O14" s="1556">
        <v>210</v>
      </c>
    </row>
    <row r="15" spans="1:15" ht="15.75">
      <c r="A15" s="1549">
        <v>10</v>
      </c>
      <c r="B15" s="1550" t="s">
        <v>2469</v>
      </c>
      <c r="C15" s="1528" t="s">
        <v>2472</v>
      </c>
      <c r="D15" s="1539">
        <v>25</v>
      </c>
      <c r="E15" s="1529">
        <v>224.07103825136613</v>
      </c>
      <c r="F15" s="1530">
        <v>234.28961748633881</v>
      </c>
      <c r="G15" s="1529">
        <v>233.07103825136613</v>
      </c>
      <c r="H15" s="1529">
        <v>239.07103825136613</v>
      </c>
      <c r="I15" s="1529">
        <v>251.02459016393445</v>
      </c>
      <c r="J15" s="1529">
        <v>255.80601092896177</v>
      </c>
      <c r="K15" s="1529">
        <v>262.97814207650276</v>
      </c>
      <c r="L15" s="1529">
        <v>291.66666666666669</v>
      </c>
      <c r="M15" s="1529">
        <v>350</v>
      </c>
      <c r="N15" s="1531">
        <f t="shared" si="0"/>
        <v>219.5896174863388</v>
      </c>
      <c r="O15" s="1556">
        <v>292</v>
      </c>
    </row>
    <row r="16" spans="1:15" ht="15.75">
      <c r="A16" s="1549">
        <v>11</v>
      </c>
      <c r="B16" s="1550" t="s">
        <v>2473</v>
      </c>
      <c r="C16" s="1528" t="s">
        <v>2474</v>
      </c>
      <c r="D16" s="1539">
        <v>25</v>
      </c>
      <c r="E16" s="1529">
        <v>121.61202185792351</v>
      </c>
      <c r="F16" s="1530">
        <v>133.87978142076503</v>
      </c>
      <c r="G16" s="1529">
        <v>130.61202185792351</v>
      </c>
      <c r="H16" s="1529">
        <v>136.61202185792351</v>
      </c>
      <c r="I16" s="1529">
        <v>143.4426229508197</v>
      </c>
      <c r="J16" s="1529">
        <v>146.17486338797815</v>
      </c>
      <c r="K16" s="1529">
        <v>150.27322404371586</v>
      </c>
      <c r="L16" s="1529">
        <v>166.66666666666669</v>
      </c>
      <c r="M16" s="1529">
        <v>200.00000000000003</v>
      </c>
      <c r="N16" s="1531">
        <f t="shared" si="0"/>
        <v>119.17978142076504</v>
      </c>
      <c r="O16" s="1556">
        <v>175</v>
      </c>
    </row>
    <row r="17" spans="1:15" ht="15.75">
      <c r="A17" s="1549">
        <v>12</v>
      </c>
      <c r="B17" s="1550" t="s">
        <v>2473</v>
      </c>
      <c r="C17" s="1528" t="s">
        <v>2475</v>
      </c>
      <c r="D17" s="1539">
        <v>25</v>
      </c>
      <c r="E17" s="1529">
        <v>141</v>
      </c>
      <c r="F17" s="1530">
        <v>152.88</v>
      </c>
      <c r="G17" s="1529">
        <v>150</v>
      </c>
      <c r="H17" s="1529">
        <v>156</v>
      </c>
      <c r="I17" s="1529">
        <v>163.80000000000001</v>
      </c>
      <c r="J17" s="1529">
        <v>166.92000000000002</v>
      </c>
      <c r="K17" s="1529">
        <v>171.6</v>
      </c>
      <c r="L17" s="1529">
        <v>190.32</v>
      </c>
      <c r="M17" s="1529">
        <v>228.38399999999999</v>
      </c>
      <c r="N17" s="1531">
        <f t="shared" si="0"/>
        <v>138.18</v>
      </c>
      <c r="O17" s="1556">
        <v>195</v>
      </c>
    </row>
    <row r="18" spans="1:15" ht="15.75">
      <c r="A18" s="1549">
        <v>13</v>
      </c>
      <c r="B18" s="1550" t="s">
        <v>2473</v>
      </c>
      <c r="C18" s="1528" t="s">
        <v>2476</v>
      </c>
      <c r="D18" s="1539">
        <v>25</v>
      </c>
      <c r="E18" s="1529">
        <v>275.30054644808746</v>
      </c>
      <c r="F18" s="1530">
        <v>284.49453551912569</v>
      </c>
      <c r="G18" s="1529">
        <v>284.30054644808746</v>
      </c>
      <c r="H18" s="1529">
        <v>290.30054644808746</v>
      </c>
      <c r="I18" s="1529">
        <v>304.81557377049182</v>
      </c>
      <c r="J18" s="1529">
        <v>310.62158469945359</v>
      </c>
      <c r="K18" s="1529">
        <v>319.33060109289619</v>
      </c>
      <c r="L18" s="1529">
        <v>354.16666666666669</v>
      </c>
      <c r="M18" s="1529">
        <v>425</v>
      </c>
      <c r="N18" s="1531">
        <f t="shared" si="0"/>
        <v>269.7945355191257</v>
      </c>
      <c r="O18" s="1556">
        <v>355</v>
      </c>
    </row>
    <row r="19" spans="1:15" ht="15.75">
      <c r="A19" s="1549">
        <v>14</v>
      </c>
      <c r="B19" s="1550" t="s">
        <v>2477</v>
      </c>
      <c r="C19" s="1528" t="s">
        <v>2478</v>
      </c>
      <c r="D19" s="1539">
        <v>25</v>
      </c>
      <c r="E19" s="1529">
        <v>66</v>
      </c>
      <c r="F19" s="1530">
        <v>79.38</v>
      </c>
      <c r="G19" s="1529">
        <v>75</v>
      </c>
      <c r="H19" s="1529">
        <v>81</v>
      </c>
      <c r="I19" s="1529">
        <v>85.05</v>
      </c>
      <c r="J19" s="1529">
        <v>86.67</v>
      </c>
      <c r="K19" s="1529">
        <v>95</v>
      </c>
      <c r="L19" s="1529">
        <v>98.82</v>
      </c>
      <c r="M19" s="1529">
        <v>118.58399999999999</v>
      </c>
      <c r="N19" s="1531">
        <f t="shared" si="0"/>
        <v>64.679999999999993</v>
      </c>
      <c r="O19" s="1556">
        <v>110</v>
      </c>
    </row>
    <row r="20" spans="1:15" ht="15.75">
      <c r="A20" s="1549">
        <v>15</v>
      </c>
      <c r="B20" s="1550" t="s">
        <v>2477</v>
      </c>
      <c r="C20" s="1528" t="s">
        <v>2479</v>
      </c>
      <c r="D20" s="1539">
        <v>40</v>
      </c>
      <c r="E20" s="1529">
        <v>101.12021857923499</v>
      </c>
      <c r="F20" s="1530">
        <v>113.79781420765029</v>
      </c>
      <c r="G20" s="1529">
        <v>110.12021857923499</v>
      </c>
      <c r="H20" s="1529">
        <v>116.12021857923499</v>
      </c>
      <c r="I20" s="1529">
        <v>121.92622950819674</v>
      </c>
      <c r="J20" s="1529">
        <v>124.24863387978144</v>
      </c>
      <c r="K20" s="1529">
        <v>127.73224043715848</v>
      </c>
      <c r="L20" s="1529">
        <v>141.66666666666669</v>
      </c>
      <c r="M20" s="1529">
        <v>170.00000000000003</v>
      </c>
      <c r="N20" s="1531">
        <f t="shared" si="0"/>
        <v>99.097814207650288</v>
      </c>
      <c r="O20" s="1556">
        <v>150</v>
      </c>
    </row>
    <row r="21" spans="1:15" ht="15.75">
      <c r="A21" s="1549">
        <v>16</v>
      </c>
      <c r="B21" s="1550" t="s">
        <v>2480</v>
      </c>
      <c r="C21" s="1528" t="s">
        <v>2481</v>
      </c>
      <c r="D21" s="1539">
        <v>25</v>
      </c>
      <c r="E21" s="1529">
        <v>83.484848484848484</v>
      </c>
      <c r="F21" s="1530">
        <v>96.515151515151516</v>
      </c>
      <c r="G21" s="1529">
        <v>92.484848484848484</v>
      </c>
      <c r="H21" s="1529">
        <v>98.484848484848484</v>
      </c>
      <c r="I21" s="1529">
        <v>103.40909090909091</v>
      </c>
      <c r="J21" s="1529">
        <v>105.37878787878788</v>
      </c>
      <c r="K21" s="1529">
        <v>108.33333333333333</v>
      </c>
      <c r="L21" s="1529">
        <v>120.15151515151516</v>
      </c>
      <c r="M21" s="1529">
        <v>144.18181818181819</v>
      </c>
      <c r="N21" s="1531">
        <f t="shared" si="0"/>
        <v>81.815151515151513</v>
      </c>
      <c r="O21" s="1556">
        <v>110</v>
      </c>
    </row>
    <row r="22" spans="1:15" ht="15.75">
      <c r="A22" s="1549">
        <v>17</v>
      </c>
      <c r="B22" s="1550" t="s">
        <v>2480</v>
      </c>
      <c r="C22" s="1528" t="s">
        <v>2482</v>
      </c>
      <c r="D22" s="1539">
        <v>40</v>
      </c>
      <c r="E22" s="1529">
        <v>119.12816691505216</v>
      </c>
      <c r="F22" s="1530">
        <v>131.44560357675113</v>
      </c>
      <c r="G22" s="1529">
        <v>128.12816691505216</v>
      </c>
      <c r="H22" s="1529">
        <v>134.12816691505216</v>
      </c>
      <c r="I22" s="1529">
        <v>140.83457526080477</v>
      </c>
      <c r="J22" s="1529">
        <v>143.51713859910581</v>
      </c>
      <c r="K22" s="1529">
        <v>147.54098360655738</v>
      </c>
      <c r="L22" s="1529">
        <v>163.63636363636363</v>
      </c>
      <c r="M22" s="1529">
        <v>196.36363636363635</v>
      </c>
      <c r="N22" s="1531">
        <f t="shared" si="0"/>
        <v>116.74560357675112</v>
      </c>
      <c r="O22" s="1556">
        <v>170</v>
      </c>
    </row>
    <row r="23" spans="1:15" ht="15.75">
      <c r="A23" s="1549">
        <v>18</v>
      </c>
      <c r="B23" s="1551" t="s">
        <v>2483</v>
      </c>
      <c r="C23" s="1532" t="s">
        <v>2484</v>
      </c>
      <c r="D23" s="1539">
        <v>30</v>
      </c>
      <c r="E23" s="1529">
        <v>175</v>
      </c>
      <c r="F23" s="1530">
        <v>186.2</v>
      </c>
      <c r="G23" s="1529">
        <v>184</v>
      </c>
      <c r="H23" s="1529">
        <v>190</v>
      </c>
      <c r="I23" s="1529">
        <v>199.5</v>
      </c>
      <c r="J23" s="1529">
        <v>203.3</v>
      </c>
      <c r="K23" s="1529">
        <v>209</v>
      </c>
      <c r="L23" s="1529">
        <v>231.8</v>
      </c>
      <c r="M23" s="1529">
        <v>278.16000000000003</v>
      </c>
      <c r="N23" s="1531">
        <f t="shared" si="0"/>
        <v>171.5</v>
      </c>
      <c r="O23" s="1556">
        <v>235</v>
      </c>
    </row>
    <row r="24" spans="1:15" ht="15.75">
      <c r="A24" s="1549">
        <v>19</v>
      </c>
      <c r="B24" s="1550" t="s">
        <v>2473</v>
      </c>
      <c r="C24" s="1528" t="s">
        <v>2485</v>
      </c>
      <c r="D24" s="1539">
        <v>25</v>
      </c>
      <c r="E24" s="1529">
        <v>128.4426229508197</v>
      </c>
      <c r="F24" s="1530">
        <v>140.57377049180329</v>
      </c>
      <c r="G24" s="1529">
        <v>137.4426229508197</v>
      </c>
      <c r="H24" s="1529">
        <v>143.4426229508197</v>
      </c>
      <c r="I24" s="1529">
        <v>150.61475409836069</v>
      </c>
      <c r="J24" s="1529">
        <v>153.48360655737707</v>
      </c>
      <c r="K24" s="1529">
        <v>157.78688524590166</v>
      </c>
      <c r="L24" s="1529">
        <v>175.00000000000003</v>
      </c>
      <c r="M24" s="1529">
        <v>210.00000000000003</v>
      </c>
      <c r="N24" s="1531">
        <f t="shared" si="0"/>
        <v>125.8737704918033</v>
      </c>
      <c r="O24" s="1556">
        <v>185</v>
      </c>
    </row>
    <row r="25" spans="1:15" ht="15.75">
      <c r="A25" s="1549">
        <v>20</v>
      </c>
      <c r="B25" s="1550" t="s">
        <v>2473</v>
      </c>
      <c r="C25" s="1528" t="s">
        <v>2486</v>
      </c>
      <c r="D25" s="1539">
        <v>25</v>
      </c>
      <c r="E25" s="1529">
        <v>155.3381147540984</v>
      </c>
      <c r="F25" s="1530">
        <v>166.93135245901644</v>
      </c>
      <c r="G25" s="1529">
        <v>164.3381147540984</v>
      </c>
      <c r="H25" s="1529">
        <v>170.3381147540984</v>
      </c>
      <c r="I25" s="1529">
        <v>178.85502049180332</v>
      </c>
      <c r="J25" s="1529">
        <v>182.26178278688528</v>
      </c>
      <c r="K25" s="1529">
        <v>187.37192622950823</v>
      </c>
      <c r="L25" s="1529">
        <v>207.81250000000006</v>
      </c>
      <c r="M25" s="1529">
        <v>249.37500000000006</v>
      </c>
      <c r="N25" s="1531">
        <f t="shared" si="0"/>
        <v>152.23135245901642</v>
      </c>
      <c r="O25" s="1556">
        <v>215</v>
      </c>
    </row>
    <row r="26" spans="1:15" ht="15.75">
      <c r="A26" s="1549">
        <v>21</v>
      </c>
      <c r="B26" s="1550" t="s">
        <v>2473</v>
      </c>
      <c r="C26" s="1528" t="s">
        <v>2487</v>
      </c>
      <c r="D26" s="1539">
        <v>25</v>
      </c>
      <c r="E26" s="1529">
        <v>304.33060109289619</v>
      </c>
      <c r="F26" s="1530">
        <v>312.94398907103823</v>
      </c>
      <c r="G26" s="1529">
        <v>313.33060109289619</v>
      </c>
      <c r="H26" s="1529">
        <v>319.33060109289619</v>
      </c>
      <c r="I26" s="1529">
        <v>335.29713114754099</v>
      </c>
      <c r="J26" s="1529">
        <v>341.68374316939889</v>
      </c>
      <c r="K26" s="1529">
        <v>351.2636612021858</v>
      </c>
      <c r="L26" s="1529">
        <v>389.58333333333337</v>
      </c>
      <c r="M26" s="1529">
        <v>467.50000000000006</v>
      </c>
      <c r="N26" s="1531">
        <f t="shared" si="0"/>
        <v>298.24398907103824</v>
      </c>
      <c r="O26" s="1556">
        <v>390</v>
      </c>
    </row>
    <row r="27" spans="1:15" ht="15.75">
      <c r="A27" s="1549">
        <v>22</v>
      </c>
      <c r="B27" s="1551" t="s">
        <v>2477</v>
      </c>
      <c r="C27" s="1532" t="s">
        <v>2488</v>
      </c>
      <c r="D27" s="1539">
        <v>50</v>
      </c>
      <c r="E27" s="1529">
        <v>305</v>
      </c>
      <c r="F27" s="1530">
        <v>313.60000000000002</v>
      </c>
      <c r="G27" s="1529">
        <v>314</v>
      </c>
      <c r="H27" s="1529">
        <v>320</v>
      </c>
      <c r="I27" s="1529">
        <v>336</v>
      </c>
      <c r="J27" s="1529">
        <v>342.4</v>
      </c>
      <c r="K27" s="1529">
        <v>352</v>
      </c>
      <c r="L27" s="1529">
        <v>390.4</v>
      </c>
      <c r="M27" s="1529">
        <v>468.47999999999996</v>
      </c>
      <c r="N27" s="1531">
        <f t="shared" si="0"/>
        <v>298.89999999999998</v>
      </c>
      <c r="O27" s="1556">
        <v>392</v>
      </c>
    </row>
    <row r="28" spans="1:15" ht="15.75">
      <c r="A28" s="1549">
        <v>23</v>
      </c>
      <c r="B28" s="1551" t="s">
        <v>2477</v>
      </c>
      <c r="C28" s="1532" t="s">
        <v>2489</v>
      </c>
      <c r="D28" s="1539">
        <v>50</v>
      </c>
      <c r="E28" s="1529">
        <v>305</v>
      </c>
      <c r="F28" s="1530">
        <v>313.60000000000002</v>
      </c>
      <c r="G28" s="1529">
        <v>314</v>
      </c>
      <c r="H28" s="1529">
        <v>320</v>
      </c>
      <c r="I28" s="1529">
        <v>336</v>
      </c>
      <c r="J28" s="1529">
        <v>342.4</v>
      </c>
      <c r="K28" s="1529">
        <v>352</v>
      </c>
      <c r="L28" s="1529">
        <v>390.4</v>
      </c>
      <c r="M28" s="1529">
        <v>468.47999999999996</v>
      </c>
      <c r="N28" s="1531">
        <f t="shared" si="0"/>
        <v>298.89999999999998</v>
      </c>
      <c r="O28" s="1556">
        <v>392</v>
      </c>
    </row>
    <row r="29" spans="1:15" ht="15.75">
      <c r="A29" s="1549">
        <v>24</v>
      </c>
      <c r="B29" s="1551" t="s">
        <v>2477</v>
      </c>
      <c r="C29" s="1532" t="s">
        <v>2490</v>
      </c>
      <c r="D29" s="1539">
        <v>25</v>
      </c>
      <c r="E29" s="1529">
        <v>135.19762845849803</v>
      </c>
      <c r="F29" s="1530">
        <v>147.19367588932806</v>
      </c>
      <c r="G29" s="1529">
        <v>144.19762845849803</v>
      </c>
      <c r="H29" s="1529">
        <v>150.19762845849803</v>
      </c>
      <c r="I29" s="1529">
        <v>157.70750988142294</v>
      </c>
      <c r="J29" s="1529">
        <v>160.7114624505929</v>
      </c>
      <c r="K29" s="1529">
        <v>165.21739130434784</v>
      </c>
      <c r="L29" s="1529">
        <v>183.24110671936759</v>
      </c>
      <c r="M29" s="1529">
        <v>219.88932806324112</v>
      </c>
      <c r="N29" s="1531">
        <f t="shared" si="0"/>
        <v>132.49367588932807</v>
      </c>
      <c r="O29" s="1556">
        <v>190</v>
      </c>
    </row>
    <row r="30" spans="1:15" ht="15.75">
      <c r="A30" s="1549">
        <v>25</v>
      </c>
      <c r="B30" s="1551" t="s">
        <v>2477</v>
      </c>
      <c r="C30" s="1532" t="s">
        <v>2491</v>
      </c>
      <c r="D30" s="1539">
        <v>25</v>
      </c>
      <c r="E30" s="1529">
        <v>63</v>
      </c>
      <c r="F30" s="1530">
        <v>76.44</v>
      </c>
      <c r="G30" s="1529">
        <v>72</v>
      </c>
      <c r="H30" s="1529">
        <v>78</v>
      </c>
      <c r="I30" s="1529">
        <v>81.900000000000006</v>
      </c>
      <c r="J30" s="1529">
        <v>83.460000000000008</v>
      </c>
      <c r="K30" s="1529">
        <v>88</v>
      </c>
      <c r="L30" s="1529">
        <v>95.16</v>
      </c>
      <c r="M30" s="1529">
        <v>114.19199999999999</v>
      </c>
      <c r="N30" s="1531">
        <f t="shared" si="0"/>
        <v>61.74</v>
      </c>
      <c r="O30" s="1556">
        <v>105</v>
      </c>
    </row>
    <row r="31" spans="1:15" ht="15.75">
      <c r="A31" s="1549">
        <v>26</v>
      </c>
      <c r="B31" s="1551" t="s">
        <v>2477</v>
      </c>
      <c r="C31" s="1532" t="s">
        <v>2492</v>
      </c>
      <c r="D31" s="1539">
        <v>40</v>
      </c>
      <c r="E31" s="1529">
        <v>98.805717382468472</v>
      </c>
      <c r="F31" s="1530">
        <v>111.5296030348191</v>
      </c>
      <c r="G31" s="1529">
        <v>107.80571738246847</v>
      </c>
      <c r="H31" s="1529">
        <v>113.80571738246847</v>
      </c>
      <c r="I31" s="1529">
        <v>119.4960032515919</v>
      </c>
      <c r="J31" s="1529">
        <v>121.77211759924127</v>
      </c>
      <c r="K31" s="1529">
        <v>125.18628912071532</v>
      </c>
      <c r="L31" s="1529">
        <v>138.84297520661153</v>
      </c>
      <c r="M31" s="1529">
        <v>166.61157024793383</v>
      </c>
      <c r="N31" s="1531">
        <f t="shared" si="0"/>
        <v>96.829603034819101</v>
      </c>
      <c r="O31" s="1556">
        <v>150</v>
      </c>
    </row>
    <row r="32" spans="1:15" ht="15.75">
      <c r="A32" s="1549">
        <v>27</v>
      </c>
      <c r="B32" s="1551" t="s">
        <v>2477</v>
      </c>
      <c r="C32" s="1532" t="s">
        <v>2493</v>
      </c>
      <c r="D32" s="1539">
        <v>25</v>
      </c>
      <c r="E32" s="1529">
        <v>74.531680440771339</v>
      </c>
      <c r="F32" s="1530">
        <v>87.741046831955913</v>
      </c>
      <c r="G32" s="1529">
        <v>83.531680440771339</v>
      </c>
      <c r="H32" s="1529">
        <v>89.531680440771339</v>
      </c>
      <c r="I32" s="1529">
        <v>94.008264462809905</v>
      </c>
      <c r="J32" s="1529">
        <v>95.798898071625331</v>
      </c>
      <c r="K32" s="1529">
        <v>98.48484848484847</v>
      </c>
      <c r="L32" s="1529">
        <v>109.22865013774103</v>
      </c>
      <c r="M32" s="1529">
        <v>131.07438016528923</v>
      </c>
      <c r="N32" s="1531">
        <f t="shared" si="0"/>
        <v>73.04104683195591</v>
      </c>
      <c r="O32" s="1556">
        <v>120</v>
      </c>
    </row>
    <row r="33" spans="1:15" ht="15.75">
      <c r="A33" s="1549">
        <v>28</v>
      </c>
      <c r="B33" s="1551" t="s">
        <v>2477</v>
      </c>
      <c r="C33" s="1532" t="s">
        <v>2494</v>
      </c>
      <c r="D33" s="1539">
        <v>40</v>
      </c>
      <c r="E33" s="1529">
        <v>108.28952716434085</v>
      </c>
      <c r="F33" s="1530">
        <v>120.82373662105404</v>
      </c>
      <c r="G33" s="1529">
        <v>117.28952716434085</v>
      </c>
      <c r="H33" s="1529">
        <v>123.28952716434085</v>
      </c>
      <c r="I33" s="1529">
        <v>129.45400352255788</v>
      </c>
      <c r="J33" s="1529">
        <v>131.91979406584471</v>
      </c>
      <c r="K33" s="1529">
        <v>135.61847988077494</v>
      </c>
      <c r="L33" s="1529">
        <v>150.41322314049583</v>
      </c>
      <c r="M33" s="1529">
        <v>180.49586776859499</v>
      </c>
      <c r="N33" s="1531">
        <f t="shared" si="0"/>
        <v>106.12373662105404</v>
      </c>
      <c r="O33" s="1556">
        <v>160</v>
      </c>
    </row>
    <row r="34" spans="1:15" ht="15.75">
      <c r="A34" s="1549">
        <v>29</v>
      </c>
      <c r="B34" s="1551" t="s">
        <v>2480</v>
      </c>
      <c r="C34" s="1532" t="s">
        <v>2495</v>
      </c>
      <c r="D34" s="1539">
        <v>25</v>
      </c>
      <c r="E34" s="1529">
        <v>87.459016393442624</v>
      </c>
      <c r="F34" s="1530">
        <v>100.40983606557377</v>
      </c>
      <c r="G34" s="1529">
        <v>96.459016393442624</v>
      </c>
      <c r="H34" s="1529">
        <v>102.45901639344262</v>
      </c>
      <c r="I34" s="1529">
        <v>107.58196721311475</v>
      </c>
      <c r="J34" s="1529">
        <v>109.6311475409836</v>
      </c>
      <c r="K34" s="1529">
        <v>112.70491803278689</v>
      </c>
      <c r="L34" s="1529">
        <v>125</v>
      </c>
      <c r="M34" s="1529">
        <v>150</v>
      </c>
      <c r="N34" s="1531">
        <f t="shared" si="0"/>
        <v>85.709836065573768</v>
      </c>
      <c r="O34" s="1556">
        <v>135</v>
      </c>
    </row>
    <row r="35" spans="1:15" ht="15.75">
      <c r="A35" s="1549">
        <v>30</v>
      </c>
      <c r="B35" s="1552" t="s">
        <v>2466</v>
      </c>
      <c r="C35" s="1533" t="s">
        <v>2496</v>
      </c>
      <c r="D35" s="1539">
        <v>20</v>
      </c>
      <c r="E35" s="1529">
        <v>189.91803278688525</v>
      </c>
      <c r="F35" s="1530">
        <v>200.81967213114754</v>
      </c>
      <c r="G35" s="1529">
        <v>198.91803278688525</v>
      </c>
      <c r="H35" s="1529">
        <v>204.91803278688525</v>
      </c>
      <c r="I35" s="1529">
        <v>215.1639344262295</v>
      </c>
      <c r="J35" s="1529">
        <v>219.26229508196721</v>
      </c>
      <c r="K35" s="1529">
        <v>225.40983606557378</v>
      </c>
      <c r="L35" s="1529">
        <v>250</v>
      </c>
      <c r="M35" s="1529">
        <v>300</v>
      </c>
      <c r="N35" s="1531">
        <f t="shared" si="0"/>
        <v>186.11967213114755</v>
      </c>
      <c r="O35" s="1556">
        <v>255</v>
      </c>
    </row>
    <row r="36" spans="1:15" ht="15.75">
      <c r="A36" s="1549">
        <v>31</v>
      </c>
      <c r="B36" s="1551" t="s">
        <v>2477</v>
      </c>
      <c r="C36" s="1532" t="s">
        <v>2497</v>
      </c>
      <c r="D36" s="1539">
        <v>25</v>
      </c>
      <c r="E36" s="1529">
        <v>53</v>
      </c>
      <c r="F36" s="1530">
        <v>66.64</v>
      </c>
      <c r="G36" s="1529">
        <v>62</v>
      </c>
      <c r="H36" s="1529">
        <v>68</v>
      </c>
      <c r="I36" s="1529">
        <v>71.400000000000006</v>
      </c>
      <c r="J36" s="1529">
        <v>72.760000000000005</v>
      </c>
      <c r="K36" s="1529">
        <v>78</v>
      </c>
      <c r="L36" s="1529">
        <v>82.960000000000008</v>
      </c>
      <c r="M36" s="1529">
        <v>99.552000000000007</v>
      </c>
      <c r="N36" s="1531">
        <f t="shared" si="0"/>
        <v>51.94</v>
      </c>
      <c r="O36" s="1556">
        <v>95</v>
      </c>
    </row>
    <row r="37" spans="1:15" ht="15.75">
      <c r="A37" s="1549">
        <v>32</v>
      </c>
      <c r="B37" s="1551" t="s">
        <v>2477</v>
      </c>
      <c r="C37" s="1532" t="s">
        <v>2498</v>
      </c>
      <c r="D37" s="1539">
        <v>50</v>
      </c>
      <c r="E37" s="1529">
        <v>116.28947555177064</v>
      </c>
      <c r="F37" s="1530">
        <v>128.66368604073523</v>
      </c>
      <c r="G37" s="1529">
        <v>125.28947555177064</v>
      </c>
      <c r="H37" s="1529">
        <v>131.28947555177064</v>
      </c>
      <c r="I37" s="1529">
        <v>137.85394932935918</v>
      </c>
      <c r="J37" s="1529">
        <v>140.47973884039459</v>
      </c>
      <c r="K37" s="1529">
        <v>145</v>
      </c>
      <c r="L37" s="1529">
        <v>160.17316017316017</v>
      </c>
      <c r="M37" s="1529">
        <v>185</v>
      </c>
      <c r="N37" s="1531">
        <f t="shared" si="0"/>
        <v>113.96368604073523</v>
      </c>
      <c r="O37" s="1556">
        <v>170</v>
      </c>
    </row>
    <row r="38" spans="1:15" ht="15.75">
      <c r="A38" s="1549">
        <v>33</v>
      </c>
      <c r="B38" s="1551" t="s">
        <v>2477</v>
      </c>
      <c r="C38" s="1532" t="s">
        <v>2499</v>
      </c>
      <c r="D38" s="1539">
        <v>25</v>
      </c>
      <c r="E38" s="1529">
        <v>70.268267086448887</v>
      </c>
      <c r="F38" s="1530">
        <v>83.562901744719909</v>
      </c>
      <c r="G38" s="1529">
        <v>79.268267086448887</v>
      </c>
      <c r="H38" s="1529">
        <v>85.268267086448887</v>
      </c>
      <c r="I38" s="1529">
        <v>89.531680440771325</v>
      </c>
      <c r="J38" s="1529">
        <v>91.237045782500303</v>
      </c>
      <c r="K38" s="1529">
        <v>93.795093795093777</v>
      </c>
      <c r="L38" s="1529">
        <v>104.02728584546765</v>
      </c>
      <c r="M38" s="1529">
        <v>124.83274301456117</v>
      </c>
      <c r="N38" s="1531">
        <f t="shared" si="0"/>
        <v>68.862901744719906</v>
      </c>
      <c r="O38" s="1556">
        <v>115</v>
      </c>
    </row>
    <row r="39" spans="1:15" ht="15.75">
      <c r="A39" s="1549">
        <v>34</v>
      </c>
      <c r="B39" s="1551" t="s">
        <v>2477</v>
      </c>
      <c r="C39" s="1532" t="s">
        <v>2500</v>
      </c>
      <c r="D39" s="1539">
        <v>50</v>
      </c>
      <c r="E39" s="1529">
        <v>140.16028928845617</v>
      </c>
      <c r="F39" s="1530">
        <v>152.05708350268705</v>
      </c>
      <c r="G39" s="1529">
        <v>149.16028928845617</v>
      </c>
      <c r="H39" s="1529">
        <v>155.16028928845617</v>
      </c>
      <c r="I39" s="1529">
        <v>162.91830375287898</v>
      </c>
      <c r="J39" s="1529">
        <v>166.0215095386481</v>
      </c>
      <c r="K39" s="1529">
        <v>170.6763182173018</v>
      </c>
      <c r="L39" s="1529">
        <v>189.29555293191652</v>
      </c>
      <c r="M39" s="1529">
        <v>227.15466351829983</v>
      </c>
      <c r="N39" s="1531">
        <f t="shared" si="0"/>
        <v>137.35708350268703</v>
      </c>
      <c r="O39" s="1556">
        <v>195</v>
      </c>
    </row>
    <row r="40" spans="1:15" ht="15.75">
      <c r="A40" s="1553">
        <v>35</v>
      </c>
      <c r="B40" s="1551" t="s">
        <v>2501</v>
      </c>
      <c r="C40" s="1532" t="s">
        <v>2502</v>
      </c>
      <c r="D40" s="1540">
        <v>25</v>
      </c>
      <c r="E40" s="1529">
        <v>74</v>
      </c>
      <c r="F40" s="1530">
        <v>87.22</v>
      </c>
      <c r="G40" s="1529">
        <v>83</v>
      </c>
      <c r="H40" s="1534">
        <v>89</v>
      </c>
      <c r="I40" s="1529">
        <v>93.45</v>
      </c>
      <c r="J40" s="1529">
        <v>95.23</v>
      </c>
      <c r="K40" s="1529">
        <v>97.9</v>
      </c>
      <c r="L40" s="1529">
        <v>108.58</v>
      </c>
      <c r="M40" s="1529">
        <v>130.29599999999999</v>
      </c>
      <c r="N40" s="1531">
        <f t="shared" si="0"/>
        <v>72.52</v>
      </c>
      <c r="O40" s="1556">
        <v>120</v>
      </c>
    </row>
    <row r="41" spans="1:15" ht="15.75">
      <c r="A41" s="1553">
        <v>36</v>
      </c>
      <c r="B41" s="1551" t="s">
        <v>2501</v>
      </c>
      <c r="C41" s="1532" t="s">
        <v>2503</v>
      </c>
      <c r="D41" s="1540">
        <v>25</v>
      </c>
      <c r="E41" s="1529">
        <v>88</v>
      </c>
      <c r="F41" s="1530">
        <v>100.94</v>
      </c>
      <c r="G41" s="1529">
        <v>97</v>
      </c>
      <c r="H41" s="1534">
        <v>103</v>
      </c>
      <c r="I41" s="1529">
        <v>108.15</v>
      </c>
      <c r="J41" s="1529">
        <v>110.21000000000001</v>
      </c>
      <c r="K41" s="1529">
        <v>113.3</v>
      </c>
      <c r="L41" s="1529">
        <v>125.66</v>
      </c>
      <c r="M41" s="1529">
        <v>150.792</v>
      </c>
      <c r="N41" s="1531">
        <f t="shared" si="0"/>
        <v>86.24</v>
      </c>
      <c r="O41" s="1556">
        <v>135</v>
      </c>
    </row>
    <row r="42" spans="1:15" ht="15.75">
      <c r="A42" s="1553">
        <v>37</v>
      </c>
      <c r="B42" s="1551" t="s">
        <v>2501</v>
      </c>
      <c r="C42" s="1532" t="s">
        <v>2504</v>
      </c>
      <c r="D42" s="1540">
        <v>25</v>
      </c>
      <c r="E42" s="1529">
        <v>100</v>
      </c>
      <c r="F42" s="1530">
        <v>112.7</v>
      </c>
      <c r="G42" s="1529">
        <v>109</v>
      </c>
      <c r="H42" s="1534">
        <v>115</v>
      </c>
      <c r="I42" s="1529">
        <v>120.75</v>
      </c>
      <c r="J42" s="1529">
        <v>123.05</v>
      </c>
      <c r="K42" s="1529">
        <v>126.5</v>
      </c>
      <c r="L42" s="1529">
        <v>140.30000000000001</v>
      </c>
      <c r="M42" s="1529">
        <v>168.36</v>
      </c>
      <c r="N42" s="1531">
        <f t="shared" si="0"/>
        <v>98</v>
      </c>
      <c r="O42" s="1556">
        <v>150</v>
      </c>
    </row>
    <row r="43" spans="1:15" ht="15.75">
      <c r="A43" s="1553">
        <v>38</v>
      </c>
      <c r="B43" s="1551" t="s">
        <v>2501</v>
      </c>
      <c r="C43" s="1532" t="s">
        <v>2505</v>
      </c>
      <c r="D43" s="1540">
        <v>25</v>
      </c>
      <c r="E43" s="1529">
        <v>110</v>
      </c>
      <c r="F43" s="1530">
        <v>122.5</v>
      </c>
      <c r="G43" s="1529">
        <v>119</v>
      </c>
      <c r="H43" s="1534">
        <v>125</v>
      </c>
      <c r="I43" s="1529">
        <v>131.25</v>
      </c>
      <c r="J43" s="1529">
        <v>133.75</v>
      </c>
      <c r="K43" s="1529">
        <v>137.5</v>
      </c>
      <c r="L43" s="1529">
        <v>152.5</v>
      </c>
      <c r="M43" s="1529">
        <v>183</v>
      </c>
      <c r="N43" s="1531">
        <f t="shared" si="0"/>
        <v>107.8</v>
      </c>
      <c r="O43" s="1556">
        <v>160</v>
      </c>
    </row>
    <row r="44" spans="1:15" ht="15.75">
      <c r="A44" s="1553">
        <v>39</v>
      </c>
      <c r="B44" s="1551" t="s">
        <v>2501</v>
      </c>
      <c r="C44" s="1532" t="s">
        <v>2506</v>
      </c>
      <c r="D44" s="1540">
        <v>25</v>
      </c>
      <c r="E44" s="1529">
        <v>110</v>
      </c>
      <c r="F44" s="1530">
        <v>122.5</v>
      </c>
      <c r="G44" s="1529">
        <v>119</v>
      </c>
      <c r="H44" s="1534">
        <v>125</v>
      </c>
      <c r="I44" s="1529">
        <v>131.25</v>
      </c>
      <c r="J44" s="1529">
        <v>133.75</v>
      </c>
      <c r="K44" s="1529">
        <v>137.5</v>
      </c>
      <c r="L44" s="1529">
        <v>152.5</v>
      </c>
      <c r="M44" s="1529">
        <v>183</v>
      </c>
      <c r="N44" s="1531">
        <f t="shared" si="0"/>
        <v>107.8</v>
      </c>
      <c r="O44" s="1556">
        <v>160</v>
      </c>
    </row>
    <row r="45" spans="1:15" ht="16.5" thickBot="1">
      <c r="A45" s="1553">
        <v>40</v>
      </c>
      <c r="B45" s="1551" t="s">
        <v>2501</v>
      </c>
      <c r="C45" s="1532" t="s">
        <v>2507</v>
      </c>
      <c r="D45" s="1540">
        <v>25</v>
      </c>
      <c r="E45" s="1529">
        <v>100</v>
      </c>
      <c r="F45" s="1530">
        <v>112.7</v>
      </c>
      <c r="G45" s="1529">
        <v>109</v>
      </c>
      <c r="H45" s="1534">
        <v>115</v>
      </c>
      <c r="I45" s="1529">
        <v>120.75</v>
      </c>
      <c r="J45" s="1529">
        <v>123.05</v>
      </c>
      <c r="K45" s="1529">
        <v>126.5</v>
      </c>
      <c r="L45" s="1529">
        <v>140.30000000000001</v>
      </c>
      <c r="M45" s="1529">
        <v>168.36</v>
      </c>
      <c r="N45" s="1531">
        <f t="shared" si="0"/>
        <v>98</v>
      </c>
      <c r="O45" s="1557">
        <v>150</v>
      </c>
    </row>
  </sheetData>
  <customSheetViews>
    <customSheetView guid="{FBB3E572-A647-4B8C-96C7-F43FE4F7CAA8}" showPageBreaks="1" hiddenColumns="1">
      <selection activeCell="Q13" sqref="Q13"/>
      <pageMargins left="0.70866141732283472" right="0.70866141732283472" top="0.74803149606299213" bottom="0.74803149606299213" header="0.31496062992125984" footer="0.31496062992125984"/>
      <pageSetup paperSize="9" scale="90" orientation="portrait" horizontalDpi="0" verticalDpi="0" r:id="rId1"/>
    </customSheetView>
    <customSheetView guid="{900EF7B2-0D63-4DE2-9CFC-2D2B3788802C}" hiddenColumns="1">
      <selection activeCell="Q13" sqref="Q13"/>
      <pageMargins left="0.70866141732283472" right="0.70866141732283472" top="0.74803149606299213" bottom="0.74803149606299213" header="0.31496062992125984" footer="0.31496062992125984"/>
      <pageSetup paperSize="9" scale="90" orientation="portrait" horizontalDpi="0" verticalDpi="0" r:id="rId2"/>
    </customSheetView>
  </customSheetViews>
  <pageMargins left="0.70866141732283472" right="0.70866141732283472" top="0.74803149606299213" bottom="0.74803149606299213" header="0.31496062992125984" footer="0.31496062992125984"/>
  <pageSetup paperSize="9" scale="90" orientation="portrait" horizontalDpi="0" verticalDpi="0" r:id="rId3"/>
</worksheet>
</file>

<file path=xl/worksheets/sheet5.xml><?xml version="1.0" encoding="utf-8"?>
<worksheet xmlns="http://schemas.openxmlformats.org/spreadsheetml/2006/main" xmlns:r="http://schemas.openxmlformats.org/officeDocument/2006/relationships">
  <sheetPr>
    <tabColor rgb="FF00B050"/>
    <pageSetUpPr fitToPage="1"/>
  </sheetPr>
  <dimension ref="B1:K20"/>
  <sheetViews>
    <sheetView view="pageBreakPreview" zoomScale="80" zoomScaleNormal="80" zoomScaleSheetLayoutView="80" workbookViewId="0">
      <pane ySplit="5" topLeftCell="A15" activePane="bottomLeft" state="frozen"/>
      <selection pane="bottomLeft" activeCell="M20" sqref="M20"/>
    </sheetView>
  </sheetViews>
  <sheetFormatPr defaultRowHeight="15"/>
  <cols>
    <col min="1" max="1" width="0.42578125" style="1" customWidth="1"/>
    <col min="2" max="2" width="25.85546875" style="49" customWidth="1"/>
    <col min="3" max="3" width="67.140625" style="47" customWidth="1"/>
    <col min="4" max="4" width="14.42578125" style="2" customWidth="1"/>
    <col min="5" max="5" width="25.28515625" style="2" customWidth="1"/>
    <col min="6" max="6" width="16.85546875" style="2" customWidth="1"/>
    <col min="7" max="7" width="17.5703125" style="2" customWidth="1"/>
    <col min="8" max="8" width="3.140625" style="7" hidden="1" customWidth="1"/>
    <col min="9" max="9" width="11" style="46" hidden="1" customWidth="1"/>
    <col min="10" max="10" width="10.7109375" style="46" hidden="1" customWidth="1"/>
    <col min="11" max="11" width="7.85546875" style="1" customWidth="1"/>
    <col min="12" max="12" width="11.85546875" style="1" customWidth="1"/>
    <col min="13" max="16384" width="9.140625" style="1"/>
  </cols>
  <sheetData>
    <row r="1" spans="2:11" ht="1.5" customHeight="1"/>
    <row r="2" spans="2:11" ht="15.75" thickBot="1">
      <c r="B2" s="321" t="s">
        <v>778</v>
      </c>
      <c r="C2" s="321"/>
      <c r="D2" s="321"/>
      <c r="E2" s="321"/>
      <c r="F2" s="321"/>
      <c r="G2" s="321"/>
    </row>
    <row r="3" spans="2:11" s="41" customFormat="1" ht="18" customHeight="1" thickBot="1">
      <c r="B3" s="1645" t="s">
        <v>39</v>
      </c>
      <c r="C3" s="1648" t="s">
        <v>52</v>
      </c>
      <c r="D3" s="1628" t="s">
        <v>664</v>
      </c>
      <c r="E3" s="1651" t="s">
        <v>16</v>
      </c>
      <c r="F3" s="1630" t="s">
        <v>37</v>
      </c>
      <c r="G3" s="1632"/>
      <c r="H3" s="39"/>
      <c r="I3" s="1610" t="s">
        <v>372</v>
      </c>
      <c r="J3" s="1610" t="s">
        <v>663</v>
      </c>
      <c r="K3" s="40"/>
    </row>
    <row r="4" spans="2:11" s="43" customFormat="1" ht="17.25">
      <c r="B4" s="1646"/>
      <c r="C4" s="1649"/>
      <c r="D4" s="1636"/>
      <c r="E4" s="1652"/>
      <c r="F4" s="1615" t="s">
        <v>38</v>
      </c>
      <c r="G4" s="1617"/>
      <c r="H4" s="42"/>
      <c r="I4" s="1610"/>
      <c r="J4" s="1610"/>
      <c r="K4" s="40"/>
    </row>
    <row r="5" spans="2:11" s="43" customFormat="1" ht="18" thickBot="1">
      <c r="B5" s="1647"/>
      <c r="C5" s="1650"/>
      <c r="D5" s="1637"/>
      <c r="E5" s="1653"/>
      <c r="F5" s="22" t="s">
        <v>17</v>
      </c>
      <c r="G5" s="24" t="s">
        <v>18</v>
      </c>
      <c r="H5" s="42"/>
      <c r="I5" s="1610"/>
      <c r="J5" s="1610"/>
      <c r="K5" s="40"/>
    </row>
    <row r="6" spans="2:11" ht="87.75" customHeight="1">
      <c r="B6" s="419" t="s">
        <v>775</v>
      </c>
      <c r="C6" s="399" t="s">
        <v>651</v>
      </c>
      <c r="D6" s="411">
        <v>25</v>
      </c>
      <c r="E6" s="399" t="s">
        <v>657</v>
      </c>
      <c r="F6" s="400">
        <f>J6*1.25+250</f>
        <v>2250</v>
      </c>
      <c r="G6" s="401">
        <f>J6*1.03+250</f>
        <v>1898</v>
      </c>
      <c r="I6" s="46">
        <f>J6+250</f>
        <v>1850</v>
      </c>
      <c r="J6" s="46">
        <v>1600</v>
      </c>
    </row>
    <row r="7" spans="2:11" ht="83.25" customHeight="1">
      <c r="B7" s="420" t="s">
        <v>645</v>
      </c>
      <c r="C7" s="402" t="s">
        <v>651</v>
      </c>
      <c r="D7" s="412">
        <v>35</v>
      </c>
      <c r="E7" s="402" t="s">
        <v>657</v>
      </c>
      <c r="F7" s="403">
        <f t="shared" ref="F7:F20" si="0">J7*1.25+250</f>
        <v>2531.25</v>
      </c>
      <c r="G7" s="404">
        <f t="shared" ref="G7:G20" si="1">J7*1.03+250</f>
        <v>2129.75</v>
      </c>
      <c r="I7" s="46">
        <f t="shared" ref="I7:I20" si="2">J7+250</f>
        <v>2075</v>
      </c>
      <c r="J7" s="46">
        <v>1825</v>
      </c>
    </row>
    <row r="8" spans="2:11" ht="16.5">
      <c r="B8" s="1640" t="s">
        <v>646</v>
      </c>
      <c r="C8" s="1638" t="s">
        <v>652</v>
      </c>
      <c r="D8" s="413">
        <v>50</v>
      </c>
      <c r="E8" s="409" t="s">
        <v>657</v>
      </c>
      <c r="F8" s="405">
        <f t="shared" si="0"/>
        <v>2875</v>
      </c>
      <c r="G8" s="406">
        <f t="shared" si="1"/>
        <v>2413</v>
      </c>
      <c r="I8" s="46">
        <f t="shared" si="2"/>
        <v>2350</v>
      </c>
      <c r="J8" s="46">
        <v>2100</v>
      </c>
    </row>
    <row r="9" spans="2:11" ht="16.5">
      <c r="B9" s="1643"/>
      <c r="C9" s="1634"/>
      <c r="D9" s="414">
        <v>75</v>
      </c>
      <c r="E9" s="397" t="s">
        <v>657</v>
      </c>
      <c r="F9" s="395">
        <f t="shared" si="0"/>
        <v>3593.75</v>
      </c>
      <c r="G9" s="393">
        <f t="shared" si="1"/>
        <v>3005.25</v>
      </c>
      <c r="I9" s="46">
        <f t="shared" si="2"/>
        <v>2925</v>
      </c>
      <c r="J9" s="46">
        <v>2675</v>
      </c>
    </row>
    <row r="10" spans="2:11" ht="54" customHeight="1">
      <c r="B10" s="1641"/>
      <c r="C10" s="1639"/>
      <c r="D10" s="415">
        <v>90</v>
      </c>
      <c r="E10" s="410" t="s">
        <v>657</v>
      </c>
      <c r="F10" s="407">
        <f t="shared" si="0"/>
        <v>4125</v>
      </c>
      <c r="G10" s="408">
        <f t="shared" si="1"/>
        <v>3443</v>
      </c>
      <c r="I10" s="46">
        <f t="shared" si="2"/>
        <v>3350</v>
      </c>
      <c r="J10" s="46">
        <v>3100</v>
      </c>
    </row>
    <row r="11" spans="2:11" ht="16.5">
      <c r="B11" s="1640" t="s">
        <v>647</v>
      </c>
      <c r="C11" s="1638" t="s">
        <v>652</v>
      </c>
      <c r="D11" s="413">
        <v>50</v>
      </c>
      <c r="E11" s="409" t="s">
        <v>657</v>
      </c>
      <c r="F11" s="405">
        <f t="shared" si="0"/>
        <v>4750</v>
      </c>
      <c r="G11" s="406">
        <f t="shared" si="1"/>
        <v>3958</v>
      </c>
      <c r="I11" s="46">
        <f t="shared" si="2"/>
        <v>3850</v>
      </c>
      <c r="J11" s="46">
        <v>3600</v>
      </c>
    </row>
    <row r="12" spans="2:11" ht="16.5">
      <c r="B12" s="1643"/>
      <c r="C12" s="1634"/>
      <c r="D12" s="414">
        <v>75</v>
      </c>
      <c r="E12" s="397" t="s">
        <v>657</v>
      </c>
      <c r="F12" s="395">
        <f t="shared" si="0"/>
        <v>5656.25</v>
      </c>
      <c r="G12" s="393">
        <f t="shared" si="1"/>
        <v>4704.75</v>
      </c>
      <c r="I12" s="46">
        <f t="shared" si="2"/>
        <v>4575</v>
      </c>
      <c r="J12" s="46">
        <v>4325</v>
      </c>
    </row>
    <row r="13" spans="2:11" ht="47.25" customHeight="1">
      <c r="B13" s="1641"/>
      <c r="C13" s="1639"/>
      <c r="D13" s="415">
        <v>90</v>
      </c>
      <c r="E13" s="410" t="s">
        <v>657</v>
      </c>
      <c r="F13" s="407">
        <f t="shared" si="0"/>
        <v>6281.25</v>
      </c>
      <c r="G13" s="408">
        <f t="shared" si="1"/>
        <v>5219.75</v>
      </c>
      <c r="I13" s="46">
        <f t="shared" si="2"/>
        <v>5075</v>
      </c>
      <c r="J13" s="46">
        <v>4825</v>
      </c>
    </row>
    <row r="14" spans="2:11" ht="15" customHeight="1">
      <c r="B14" s="1640" t="s">
        <v>648</v>
      </c>
      <c r="C14" s="1638" t="s">
        <v>653</v>
      </c>
      <c r="D14" s="413">
        <v>100</v>
      </c>
      <c r="E14" s="409" t="s">
        <v>658</v>
      </c>
      <c r="F14" s="405">
        <f t="shared" si="0"/>
        <v>5493.75</v>
      </c>
      <c r="G14" s="406">
        <f t="shared" si="1"/>
        <v>4570.8500000000004</v>
      </c>
      <c r="I14" s="46">
        <f t="shared" si="2"/>
        <v>4445</v>
      </c>
      <c r="J14" s="46">
        <v>4195</v>
      </c>
    </row>
    <row r="15" spans="2:11" ht="64.5" customHeight="1">
      <c r="B15" s="1641"/>
      <c r="C15" s="1639"/>
      <c r="D15" s="415">
        <v>150</v>
      </c>
      <c r="E15" s="410" t="s">
        <v>659</v>
      </c>
      <c r="F15" s="407">
        <f t="shared" si="0"/>
        <v>7000</v>
      </c>
      <c r="G15" s="408">
        <f t="shared" si="1"/>
        <v>5812</v>
      </c>
      <c r="I15" s="46">
        <f t="shared" si="2"/>
        <v>5650</v>
      </c>
      <c r="J15" s="46">
        <v>5400</v>
      </c>
    </row>
    <row r="16" spans="2:11" ht="16.5">
      <c r="B16" s="1640" t="s">
        <v>649</v>
      </c>
      <c r="C16" s="409" t="s">
        <v>654</v>
      </c>
      <c r="D16" s="413">
        <v>100</v>
      </c>
      <c r="E16" s="409" t="s">
        <v>661</v>
      </c>
      <c r="F16" s="405">
        <f t="shared" si="0"/>
        <v>5493.75</v>
      </c>
      <c r="G16" s="406">
        <f t="shared" si="1"/>
        <v>4570.8500000000004</v>
      </c>
      <c r="I16" s="46">
        <f t="shared" si="2"/>
        <v>4445</v>
      </c>
      <c r="J16" s="46">
        <v>4195</v>
      </c>
    </row>
    <row r="17" spans="2:10" ht="58.5" customHeight="1">
      <c r="B17" s="1641"/>
      <c r="C17" s="410" t="s">
        <v>655</v>
      </c>
      <c r="D17" s="415">
        <v>120</v>
      </c>
      <c r="E17" s="410" t="s">
        <v>661</v>
      </c>
      <c r="F17" s="407">
        <f t="shared" si="0"/>
        <v>6237.5</v>
      </c>
      <c r="G17" s="408">
        <f t="shared" si="1"/>
        <v>5183.7</v>
      </c>
      <c r="I17" s="46">
        <f t="shared" si="2"/>
        <v>5040</v>
      </c>
      <c r="J17" s="46">
        <v>4790</v>
      </c>
    </row>
    <row r="18" spans="2:10" ht="16.5">
      <c r="B18" s="1642" t="s">
        <v>650</v>
      </c>
      <c r="C18" s="1633" t="s">
        <v>656</v>
      </c>
      <c r="D18" s="416">
        <v>150</v>
      </c>
      <c r="E18" s="398" t="s">
        <v>662</v>
      </c>
      <c r="F18" s="395">
        <f t="shared" si="0"/>
        <v>7512.5</v>
      </c>
      <c r="G18" s="393">
        <f t="shared" si="1"/>
        <v>6234.3</v>
      </c>
      <c r="I18" s="46">
        <f t="shared" si="2"/>
        <v>6060</v>
      </c>
      <c r="J18" s="46">
        <v>5810</v>
      </c>
    </row>
    <row r="19" spans="2:10" ht="15.75" customHeight="1">
      <c r="B19" s="1643"/>
      <c r="C19" s="1634"/>
      <c r="D19" s="414">
        <v>175</v>
      </c>
      <c r="E19" s="397" t="s">
        <v>662</v>
      </c>
      <c r="F19" s="395">
        <f t="shared" si="0"/>
        <v>8550</v>
      </c>
      <c r="G19" s="393">
        <f t="shared" si="1"/>
        <v>7089.2</v>
      </c>
      <c r="I19" s="46">
        <f t="shared" si="2"/>
        <v>6890</v>
      </c>
      <c r="J19" s="46">
        <v>6640</v>
      </c>
    </row>
    <row r="20" spans="2:10" ht="48" customHeight="1" thickBot="1">
      <c r="B20" s="1644"/>
      <c r="C20" s="1635"/>
      <c r="D20" s="417">
        <v>200</v>
      </c>
      <c r="E20" s="418" t="s">
        <v>662</v>
      </c>
      <c r="F20" s="396">
        <f t="shared" si="0"/>
        <v>9606.25</v>
      </c>
      <c r="G20" s="394">
        <f t="shared" si="1"/>
        <v>7959.55</v>
      </c>
      <c r="I20" s="46">
        <f t="shared" si="2"/>
        <v>7735</v>
      </c>
      <c r="J20" s="46">
        <v>7485</v>
      </c>
    </row>
  </sheetData>
  <customSheetViews>
    <customSheetView guid="{FBB3E572-A647-4B8C-96C7-F43FE4F7CAA8}" scale="80" showPageBreaks="1" fitToPage="1" printArea="1" hiddenColumns="1" view="pageBreakPreview">
      <pane ySplit="5" topLeftCell="A15" activePane="bottomLeft" state="frozen"/>
      <selection pane="bottomLeft" activeCell="M20" sqref="M20"/>
      <pageMargins left="1.17" right="0.27559055118110237" top="0.39370078740157483" bottom="0.23622047244094491" header="0.31496062992125984" footer="0.19685039370078741"/>
      <pageSetup paperSize="9" scale="70" orientation="landscape" verticalDpi="0" r:id="rId1"/>
    </customSheetView>
    <customSheetView guid="{900EF7B2-0D63-4DE2-9CFC-2D2B3788802C}" scale="80"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69" orientation="landscape" verticalDpi="0" r:id="rId2"/>
    </customSheetView>
    <customSheetView guid="{CC6D6007-EFDE-464F-BD7C-A67043AC5D5C}" scale="80" showPageBreaks="1" fitToPage="1" printArea="1" hiddenColumns="1" view="pageBreakPreview">
      <pane ySplit="5" topLeftCell="A6" activePane="bottomLeft" state="frozen"/>
      <selection pane="bottomLeft" activeCell="J43" sqref="J43"/>
      <pageMargins left="1.17" right="0.27559055118110237" top="0.39370078740157483" bottom="0.23622047244094491" header="0.31496062992125984" footer="0.19685039370078741"/>
      <pageSetup paperSize="9" scale="77" orientation="landscape" verticalDpi="0" r:id="rId3"/>
    </customSheetView>
    <customSheetView guid="{C0FE86CC-5BB4-4265-957F-F51B909B3E81}" scale="80" showPageBreaks="1" fitToPage="1" printArea="1" hiddenColumns="1" view="pageBreakPreview">
      <pane ySplit="5" topLeftCell="A6" activePane="bottomLeft" state="frozen"/>
      <selection pane="bottomLeft" activeCell="J43" sqref="J43"/>
      <pageMargins left="1.17" right="0.27559055118110237" top="0.39370078740157483" bottom="0.23622047244094491" header="0.31496062992125984" footer="0.19685039370078741"/>
      <pageSetup paperSize="9" scale="77" orientation="landscape" verticalDpi="0" r:id="rId4"/>
    </customSheetView>
  </customSheetViews>
  <mergeCells count="17">
    <mergeCell ref="J3:J5"/>
    <mergeCell ref="F4:G4"/>
    <mergeCell ref="B3:B5"/>
    <mergeCell ref="C3:C5"/>
    <mergeCell ref="E3:E5"/>
    <mergeCell ref="F3:G3"/>
    <mergeCell ref="I3:I5"/>
    <mergeCell ref="C18:C20"/>
    <mergeCell ref="D3:D5"/>
    <mergeCell ref="C8:C10"/>
    <mergeCell ref="C11:C13"/>
    <mergeCell ref="B16:B17"/>
    <mergeCell ref="B18:B20"/>
    <mergeCell ref="B8:B10"/>
    <mergeCell ref="B11:B13"/>
    <mergeCell ref="B14:B15"/>
    <mergeCell ref="C14:C15"/>
  </mergeCells>
  <pageMargins left="1.17" right="0.27559055118110237" top="0.39370078740157483" bottom="0.23622047244094491" header="0.31496062992125984" footer="0.19685039370078741"/>
  <pageSetup paperSize="9" scale="70" orientation="landscape" verticalDpi="0" r:id="rId5"/>
  <legacyDrawing r:id="rId6"/>
</worksheet>
</file>

<file path=xl/worksheets/sheet6.xml><?xml version="1.0" encoding="utf-8"?>
<worksheet xmlns="http://schemas.openxmlformats.org/spreadsheetml/2006/main" xmlns:r="http://schemas.openxmlformats.org/officeDocument/2006/relationships">
  <sheetPr>
    <tabColor rgb="FF00B050"/>
  </sheetPr>
  <dimension ref="B1:I36"/>
  <sheetViews>
    <sheetView view="pageBreakPreview" zoomScale="80" zoomScaleNormal="80" zoomScaleSheetLayoutView="80" workbookViewId="0">
      <pane ySplit="5" topLeftCell="A6" activePane="bottomLeft" state="frozen"/>
      <selection pane="bottomLeft" activeCell="M19" sqref="M19"/>
    </sheetView>
  </sheetViews>
  <sheetFormatPr defaultRowHeight="15"/>
  <cols>
    <col min="1" max="1" width="0.42578125" style="1" customWidth="1"/>
    <col min="2" max="2" width="52.140625" style="49" customWidth="1"/>
    <col min="3" max="3" width="14.42578125" style="41" customWidth="1"/>
    <col min="4" max="4" width="25.28515625" style="2" customWidth="1"/>
    <col min="5" max="5" width="18.28515625" style="2" customWidth="1"/>
    <col min="6" max="6" width="15.28515625" style="2" customWidth="1"/>
    <col min="7" max="7" width="12.5703125" style="46" hidden="1" customWidth="1"/>
    <col min="8" max="8" width="0.28515625" style="46" customWidth="1"/>
    <col min="9" max="16384" width="9.140625" style="1"/>
  </cols>
  <sheetData>
    <row r="1" spans="2:9" ht="1.5" customHeight="1"/>
    <row r="2" spans="2:9" ht="15.75" thickBot="1">
      <c r="B2" s="321"/>
      <c r="C2" s="436"/>
      <c r="D2" s="321"/>
      <c r="E2" s="321"/>
      <c r="F2" s="321"/>
    </row>
    <row r="3" spans="2:9" s="41" customFormat="1" ht="18" customHeight="1" thickBot="1">
      <c r="B3" s="1645" t="s">
        <v>39</v>
      </c>
      <c r="C3" s="1648" t="s">
        <v>664</v>
      </c>
      <c r="D3" s="1651" t="s">
        <v>16</v>
      </c>
      <c r="E3" s="1630" t="s">
        <v>37</v>
      </c>
      <c r="F3" s="1632"/>
      <c r="G3" s="1610" t="s">
        <v>372</v>
      </c>
      <c r="H3" s="1610" t="s">
        <v>776</v>
      </c>
      <c r="I3" s="40"/>
    </row>
    <row r="4" spans="2:9" s="43" customFormat="1" ht="17.25">
      <c r="B4" s="1646"/>
      <c r="C4" s="1649"/>
      <c r="D4" s="1652"/>
      <c r="E4" s="1615"/>
      <c r="F4" s="1617"/>
      <c r="G4" s="1610"/>
      <c r="H4" s="1610"/>
      <c r="I4" s="40"/>
    </row>
    <row r="5" spans="2:9" s="43" customFormat="1" ht="35.25" thickBot="1">
      <c r="B5" s="1647"/>
      <c r="C5" s="1650"/>
      <c r="D5" s="1653"/>
      <c r="E5" s="22" t="s">
        <v>1610</v>
      </c>
      <c r="F5" s="24" t="s">
        <v>1611</v>
      </c>
      <c r="G5" s="1610"/>
      <c r="H5" s="1610"/>
      <c r="I5" s="40"/>
    </row>
    <row r="6" spans="2:9" ht="21" customHeight="1">
      <c r="B6" s="439" t="s">
        <v>704</v>
      </c>
      <c r="C6" s="444">
        <v>37</v>
      </c>
      <c r="D6" s="705" t="s">
        <v>737</v>
      </c>
      <c r="E6" s="442">
        <f>H6*1.25+250</f>
        <v>2621.5</v>
      </c>
      <c r="F6" s="437">
        <f>H6*1.03+250</f>
        <v>2204.116</v>
      </c>
      <c r="G6" s="46">
        <f>H6+250</f>
        <v>2147.1999999999998</v>
      </c>
      <c r="H6" s="46">
        <f>1860*1.02</f>
        <v>1897.2</v>
      </c>
    </row>
    <row r="7" spans="2:9" ht="21.75" customHeight="1">
      <c r="B7" s="440" t="s">
        <v>731</v>
      </c>
      <c r="C7" s="445">
        <v>30</v>
      </c>
      <c r="D7" s="706" t="s">
        <v>739</v>
      </c>
      <c r="E7" s="443">
        <f t="shared" ref="E7:E34" si="0">H7*1.25+250</f>
        <v>2287.4499999999998</v>
      </c>
      <c r="F7" s="438">
        <f t="shared" ref="F7:F34" si="1">H7*1.03+250</f>
        <v>1928.8588</v>
      </c>
      <c r="G7" s="46">
        <f t="shared" ref="G7:G34" si="2">H7+250</f>
        <v>1879.96</v>
      </c>
      <c r="H7" s="46">
        <f>1598*1.02</f>
        <v>1629.96</v>
      </c>
    </row>
    <row r="8" spans="2:9" ht="22.5" customHeight="1">
      <c r="B8" s="447" t="s">
        <v>705</v>
      </c>
      <c r="C8" s="448">
        <v>35</v>
      </c>
      <c r="D8" s="707" t="s">
        <v>738</v>
      </c>
      <c r="E8" s="449">
        <f t="shared" si="0"/>
        <v>2710.75</v>
      </c>
      <c r="F8" s="450">
        <f t="shared" si="1"/>
        <v>2277.6580000000004</v>
      </c>
      <c r="G8" s="46">
        <f t="shared" si="2"/>
        <v>2218.6000000000004</v>
      </c>
      <c r="H8" s="46">
        <f>1930*1.02</f>
        <v>1968.6000000000001</v>
      </c>
    </row>
    <row r="9" spans="2:9" ht="24" customHeight="1">
      <c r="B9" s="433" t="s">
        <v>706</v>
      </c>
      <c r="C9" s="451">
        <v>35</v>
      </c>
      <c r="D9" s="708" t="s">
        <v>738</v>
      </c>
      <c r="E9" s="403">
        <f t="shared" si="0"/>
        <v>4563.3249999999998</v>
      </c>
      <c r="F9" s="404">
        <f t="shared" si="1"/>
        <v>3804.1797999999999</v>
      </c>
      <c r="G9" s="46">
        <f t="shared" si="2"/>
        <v>3700.66</v>
      </c>
      <c r="H9" s="46">
        <f>3383*1.02</f>
        <v>3450.66</v>
      </c>
    </row>
    <row r="10" spans="2:9" ht="24" customHeight="1">
      <c r="B10" s="433" t="s">
        <v>741</v>
      </c>
      <c r="C10" s="451">
        <v>35</v>
      </c>
      <c r="D10" s="708" t="s">
        <v>740</v>
      </c>
      <c r="E10" s="403">
        <f t="shared" si="0"/>
        <v>24035.125</v>
      </c>
      <c r="F10" s="404">
        <f t="shared" si="1"/>
        <v>19848.942999999999</v>
      </c>
      <c r="G10" s="46">
        <f t="shared" si="2"/>
        <v>19278.099999999999</v>
      </c>
      <c r="H10" s="46">
        <f>18655*1.02</f>
        <v>19028.099999999999</v>
      </c>
    </row>
    <row r="11" spans="2:9" ht="24" customHeight="1">
      <c r="B11" s="435" t="s">
        <v>707</v>
      </c>
      <c r="C11" s="452">
        <v>37</v>
      </c>
      <c r="D11" s="709" t="s">
        <v>737</v>
      </c>
      <c r="E11" s="405">
        <f t="shared" si="0"/>
        <v>3182.5</v>
      </c>
      <c r="F11" s="406">
        <f t="shared" si="1"/>
        <v>2666.38</v>
      </c>
      <c r="G11" s="46">
        <f t="shared" si="2"/>
        <v>2596</v>
      </c>
      <c r="H11" s="46">
        <f>2300*1.02</f>
        <v>2346</v>
      </c>
    </row>
    <row r="12" spans="2:9" ht="24.75" customHeight="1">
      <c r="B12" s="440" t="s">
        <v>730</v>
      </c>
      <c r="C12" s="445">
        <v>60</v>
      </c>
      <c r="D12" s="706" t="s">
        <v>742</v>
      </c>
      <c r="E12" s="443">
        <f t="shared" si="0"/>
        <v>4623.25</v>
      </c>
      <c r="F12" s="438">
        <f t="shared" si="1"/>
        <v>3853.558</v>
      </c>
      <c r="G12" s="46">
        <f t="shared" si="2"/>
        <v>3748.6</v>
      </c>
      <c r="H12" s="46">
        <f>3430*1.02</f>
        <v>3498.6</v>
      </c>
    </row>
    <row r="13" spans="2:9" ht="23.25" customHeight="1">
      <c r="B13" s="447" t="s">
        <v>708</v>
      </c>
      <c r="C13" s="448">
        <v>60</v>
      </c>
      <c r="D13" s="707" t="s">
        <v>737</v>
      </c>
      <c r="E13" s="449">
        <f t="shared" si="0"/>
        <v>4279</v>
      </c>
      <c r="F13" s="450">
        <f t="shared" si="1"/>
        <v>3569.8960000000002</v>
      </c>
      <c r="G13" s="46">
        <f t="shared" si="2"/>
        <v>3473.2000000000003</v>
      </c>
      <c r="H13" s="46">
        <f>3160*1.02</f>
        <v>3223.2000000000003</v>
      </c>
    </row>
    <row r="14" spans="2:9" ht="24" customHeight="1">
      <c r="B14" s="433" t="s">
        <v>709</v>
      </c>
      <c r="C14" s="451">
        <v>115</v>
      </c>
      <c r="D14" s="708" t="s">
        <v>743</v>
      </c>
      <c r="E14" s="403">
        <f t="shared" si="0"/>
        <v>9812.5</v>
      </c>
      <c r="F14" s="404">
        <f t="shared" si="1"/>
        <v>8129.5</v>
      </c>
      <c r="G14" s="46">
        <f t="shared" si="2"/>
        <v>7900</v>
      </c>
      <c r="H14" s="46">
        <f>7500*1.02</f>
        <v>7650</v>
      </c>
    </row>
    <row r="15" spans="2:9" ht="22.5" customHeight="1">
      <c r="B15" s="433" t="s">
        <v>710</v>
      </c>
      <c r="C15" s="451">
        <v>150</v>
      </c>
      <c r="D15" s="708" t="s">
        <v>744</v>
      </c>
      <c r="E15" s="403">
        <f t="shared" si="0"/>
        <v>8072.125</v>
      </c>
      <c r="F15" s="404">
        <f t="shared" si="1"/>
        <v>6695.4309999999996</v>
      </c>
      <c r="G15" s="46">
        <f t="shared" si="2"/>
        <v>6507.7</v>
      </c>
      <c r="H15" s="46">
        <f>6135*1.02</f>
        <v>6257.7</v>
      </c>
    </row>
    <row r="16" spans="2:9" ht="22.5" customHeight="1">
      <c r="B16" s="433" t="s">
        <v>711</v>
      </c>
      <c r="C16" s="451">
        <v>45</v>
      </c>
      <c r="D16" s="708" t="s">
        <v>737</v>
      </c>
      <c r="E16" s="403">
        <f t="shared" si="0"/>
        <v>2937.5</v>
      </c>
      <c r="F16" s="404">
        <f t="shared" si="1"/>
        <v>2464.5</v>
      </c>
      <c r="G16" s="46">
        <f t="shared" si="2"/>
        <v>2400</v>
      </c>
      <c r="H16" s="46">
        <v>2150</v>
      </c>
    </row>
    <row r="17" spans="2:8" ht="24" customHeight="1">
      <c r="B17" s="434" t="s">
        <v>712</v>
      </c>
      <c r="C17" s="453" t="s">
        <v>732</v>
      </c>
      <c r="D17" s="709" t="s">
        <v>745</v>
      </c>
      <c r="E17" s="405">
        <f t="shared" si="0"/>
        <v>3883.75</v>
      </c>
      <c r="F17" s="406">
        <f t="shared" si="1"/>
        <v>3244.21</v>
      </c>
      <c r="G17" s="46">
        <f t="shared" si="2"/>
        <v>3157</v>
      </c>
      <c r="H17" s="46">
        <f>2850*1.02</f>
        <v>2907</v>
      </c>
    </row>
    <row r="18" spans="2:8" ht="24.75" customHeight="1">
      <c r="B18" s="441" t="s">
        <v>713</v>
      </c>
      <c r="C18" s="446" t="s">
        <v>733</v>
      </c>
      <c r="D18" s="706" t="s">
        <v>746</v>
      </c>
      <c r="E18" s="443">
        <f t="shared" si="0"/>
        <v>3565</v>
      </c>
      <c r="F18" s="438">
        <f t="shared" si="1"/>
        <v>2981.56</v>
      </c>
      <c r="G18" s="46">
        <f t="shared" si="2"/>
        <v>2902</v>
      </c>
      <c r="H18" s="46">
        <f>2600*1.02</f>
        <v>2652</v>
      </c>
    </row>
    <row r="19" spans="2:8" ht="24" customHeight="1">
      <c r="B19" s="440" t="s">
        <v>714</v>
      </c>
      <c r="C19" s="445">
        <v>90</v>
      </c>
      <c r="D19" s="706" t="s">
        <v>747</v>
      </c>
      <c r="E19" s="443">
        <f t="shared" si="0"/>
        <v>4534</v>
      </c>
      <c r="F19" s="438">
        <f t="shared" si="1"/>
        <v>3780.0160000000005</v>
      </c>
      <c r="G19" s="46">
        <f t="shared" si="2"/>
        <v>3677.2000000000003</v>
      </c>
      <c r="H19" s="46">
        <f>3360*1.02</f>
        <v>3427.2000000000003</v>
      </c>
    </row>
    <row r="20" spans="2:8" ht="21.75" customHeight="1">
      <c r="B20" s="440" t="s">
        <v>715</v>
      </c>
      <c r="C20" s="445">
        <v>37</v>
      </c>
      <c r="D20" s="706" t="s">
        <v>737</v>
      </c>
      <c r="E20" s="443">
        <f t="shared" si="0"/>
        <v>2863.75</v>
      </c>
      <c r="F20" s="438">
        <f t="shared" si="1"/>
        <v>2403.73</v>
      </c>
      <c r="G20" s="46">
        <f t="shared" si="2"/>
        <v>2341</v>
      </c>
      <c r="H20" s="46">
        <f>2050*1.02</f>
        <v>2091</v>
      </c>
    </row>
    <row r="21" spans="2:8" ht="21.75" customHeight="1">
      <c r="B21" s="440" t="s">
        <v>716</v>
      </c>
      <c r="C21" s="445">
        <v>32</v>
      </c>
      <c r="D21" s="706" t="s">
        <v>737</v>
      </c>
      <c r="E21" s="443">
        <f t="shared" si="0"/>
        <v>2647</v>
      </c>
      <c r="F21" s="438">
        <f t="shared" si="1"/>
        <v>2225.1280000000002</v>
      </c>
      <c r="G21" s="46">
        <f t="shared" si="2"/>
        <v>2167.6000000000004</v>
      </c>
      <c r="H21" s="46">
        <f>1880*1.02</f>
        <v>1917.6000000000001</v>
      </c>
    </row>
    <row r="22" spans="2:8" ht="22.5" customHeight="1">
      <c r="B22" s="447" t="s">
        <v>717</v>
      </c>
      <c r="C22" s="448">
        <v>75</v>
      </c>
      <c r="D22" s="707" t="s">
        <v>748</v>
      </c>
      <c r="E22" s="449">
        <f t="shared" ref="E22:E26" si="3">H22*1.25+250</f>
        <v>4049.5</v>
      </c>
      <c r="F22" s="450">
        <f t="shared" ref="F22:F26" si="4">H22*1.03+250</f>
        <v>3380.788</v>
      </c>
      <c r="G22" s="46">
        <f t="shared" ref="G22:G26" si="5">H22+250</f>
        <v>3289.6</v>
      </c>
      <c r="H22" s="46">
        <f>2980*1.02</f>
        <v>3039.6</v>
      </c>
    </row>
    <row r="23" spans="2:8" ht="23.25" customHeight="1">
      <c r="B23" s="434" t="s">
        <v>718</v>
      </c>
      <c r="C23" s="453" t="s">
        <v>734</v>
      </c>
      <c r="D23" s="709" t="s">
        <v>749</v>
      </c>
      <c r="E23" s="405">
        <f t="shared" si="3"/>
        <v>7173.25</v>
      </c>
      <c r="F23" s="406">
        <f t="shared" si="4"/>
        <v>5954.7580000000007</v>
      </c>
      <c r="G23" s="46">
        <f t="shared" si="5"/>
        <v>5788.6</v>
      </c>
      <c r="H23" s="46">
        <f>5430*1.02</f>
        <v>5538.6</v>
      </c>
    </row>
    <row r="24" spans="2:8" ht="29.25" customHeight="1">
      <c r="B24" s="441" t="s">
        <v>719</v>
      </c>
      <c r="C24" s="446" t="s">
        <v>735</v>
      </c>
      <c r="D24" s="706" t="s">
        <v>749</v>
      </c>
      <c r="E24" s="443">
        <f t="shared" si="3"/>
        <v>6816.25</v>
      </c>
      <c r="F24" s="438">
        <f t="shared" si="4"/>
        <v>5660.59</v>
      </c>
      <c r="G24" s="46">
        <f t="shared" si="5"/>
        <v>5503</v>
      </c>
      <c r="H24" s="46">
        <f>5150*1.02</f>
        <v>5253</v>
      </c>
    </row>
    <row r="25" spans="2:8" ht="22.5" customHeight="1">
      <c r="B25" s="447" t="s">
        <v>720</v>
      </c>
      <c r="C25" s="448" t="s">
        <v>736</v>
      </c>
      <c r="D25" s="707" t="s">
        <v>750</v>
      </c>
      <c r="E25" s="449">
        <f t="shared" si="3"/>
        <v>6178.75</v>
      </c>
      <c r="F25" s="450">
        <f t="shared" si="4"/>
        <v>5135.29</v>
      </c>
      <c r="G25" s="46">
        <f t="shared" si="5"/>
        <v>4993</v>
      </c>
      <c r="H25" s="46">
        <f>4650*1.02</f>
        <v>4743</v>
      </c>
    </row>
    <row r="26" spans="2:8" ht="27" customHeight="1">
      <c r="B26" s="435" t="s">
        <v>721</v>
      </c>
      <c r="C26" s="452">
        <v>190</v>
      </c>
      <c r="D26" s="709" t="s">
        <v>660</v>
      </c>
      <c r="E26" s="405">
        <f t="shared" si="3"/>
        <v>9519.25</v>
      </c>
      <c r="F26" s="406">
        <f t="shared" si="4"/>
        <v>7887.862000000001</v>
      </c>
      <c r="G26" s="46">
        <f t="shared" si="5"/>
        <v>7665.4000000000005</v>
      </c>
      <c r="H26" s="46">
        <f>7270*1.02</f>
        <v>7415.4000000000005</v>
      </c>
    </row>
    <row r="27" spans="2:8" ht="26.25" customHeight="1">
      <c r="B27" s="447" t="s">
        <v>722</v>
      </c>
      <c r="C27" s="448">
        <v>160</v>
      </c>
      <c r="D27" s="707" t="s">
        <v>748</v>
      </c>
      <c r="E27" s="449">
        <f t="shared" ref="E27:E31" si="6">H27*1.25+250</f>
        <v>8027.5</v>
      </c>
      <c r="F27" s="450">
        <f t="shared" ref="F27:F31" si="7">H27*1.03+250</f>
        <v>6658.66</v>
      </c>
      <c r="G27" s="46">
        <f t="shared" ref="G27:G31" si="8">H27+250</f>
        <v>6472</v>
      </c>
      <c r="H27" s="46">
        <f>6100*1.02</f>
        <v>6222</v>
      </c>
    </row>
    <row r="28" spans="2:8" ht="24.75" customHeight="1">
      <c r="B28" s="434" t="s">
        <v>723</v>
      </c>
      <c r="C28" s="453">
        <v>115</v>
      </c>
      <c r="D28" s="709" t="s">
        <v>748</v>
      </c>
      <c r="E28" s="405">
        <f t="shared" si="6"/>
        <v>5554</v>
      </c>
      <c r="F28" s="406">
        <f t="shared" si="7"/>
        <v>4620.4960000000001</v>
      </c>
      <c r="G28" s="46">
        <f t="shared" si="8"/>
        <v>4493.2</v>
      </c>
      <c r="H28" s="46">
        <f>4160*1.02</f>
        <v>4243.2</v>
      </c>
    </row>
    <row r="29" spans="2:8" ht="22.5" customHeight="1">
      <c r="B29" s="440" t="s">
        <v>724</v>
      </c>
      <c r="C29" s="445">
        <v>100</v>
      </c>
      <c r="D29" s="706" t="s">
        <v>748</v>
      </c>
      <c r="E29" s="443">
        <f t="shared" si="6"/>
        <v>5082.25</v>
      </c>
      <c r="F29" s="438">
        <f t="shared" si="7"/>
        <v>4231.7740000000003</v>
      </c>
      <c r="G29" s="46">
        <f t="shared" si="8"/>
        <v>4115.8</v>
      </c>
      <c r="H29" s="46">
        <f>3790*1.02</f>
        <v>3865.8</v>
      </c>
    </row>
    <row r="30" spans="2:8" ht="25.5" customHeight="1">
      <c r="B30" s="1654" t="s">
        <v>725</v>
      </c>
      <c r="C30" s="446">
        <v>145</v>
      </c>
      <c r="D30" s="706" t="s">
        <v>751</v>
      </c>
      <c r="E30" s="443">
        <f t="shared" si="6"/>
        <v>10807</v>
      </c>
      <c r="F30" s="438">
        <f t="shared" si="7"/>
        <v>8948.9680000000008</v>
      </c>
      <c r="G30" s="46">
        <f t="shared" si="8"/>
        <v>8695.6</v>
      </c>
      <c r="H30" s="46">
        <f>8280*1.02</f>
        <v>8445.6</v>
      </c>
    </row>
    <row r="31" spans="2:8" ht="20.25" customHeight="1">
      <c r="B31" s="1654"/>
      <c r="C31" s="446">
        <v>145</v>
      </c>
      <c r="D31" s="706" t="s">
        <v>752</v>
      </c>
      <c r="E31" s="443">
        <f t="shared" si="6"/>
        <v>8142.25</v>
      </c>
      <c r="F31" s="438">
        <f t="shared" si="7"/>
        <v>6753.2139999999999</v>
      </c>
      <c r="G31" s="46">
        <f t="shared" si="8"/>
        <v>6563.8</v>
      </c>
      <c r="H31" s="46">
        <f>6190*1.02</f>
        <v>6313.8</v>
      </c>
    </row>
    <row r="32" spans="2:8" ht="22.5" customHeight="1">
      <c r="B32" s="1654"/>
      <c r="C32" s="446">
        <v>145</v>
      </c>
      <c r="D32" s="706" t="s">
        <v>747</v>
      </c>
      <c r="E32" s="443" t="s">
        <v>756</v>
      </c>
      <c r="F32" s="438" t="s">
        <v>756</v>
      </c>
      <c r="G32" s="46" t="s">
        <v>756</v>
      </c>
      <c r="H32" s="46" t="s">
        <v>755</v>
      </c>
    </row>
    <row r="33" spans="2:8" ht="21" customHeight="1">
      <c r="B33" s="441" t="s">
        <v>726</v>
      </c>
      <c r="C33" s="446">
        <v>110</v>
      </c>
      <c r="D33" s="706" t="s">
        <v>753</v>
      </c>
      <c r="E33" s="443">
        <f t="shared" si="0"/>
        <v>6688.75</v>
      </c>
      <c r="F33" s="438">
        <f t="shared" si="1"/>
        <v>5555.53</v>
      </c>
      <c r="G33" s="46">
        <f t="shared" si="2"/>
        <v>5401</v>
      </c>
      <c r="H33" s="46">
        <f>5050*1.02</f>
        <v>5151</v>
      </c>
    </row>
    <row r="34" spans="2:8" ht="21" customHeight="1">
      <c r="B34" s="441" t="s">
        <v>727</v>
      </c>
      <c r="C34" s="446">
        <v>180</v>
      </c>
      <c r="D34" s="706" t="s">
        <v>745</v>
      </c>
      <c r="E34" s="443">
        <f t="shared" si="0"/>
        <v>7581.25</v>
      </c>
      <c r="F34" s="438">
        <f t="shared" si="1"/>
        <v>6290.95</v>
      </c>
      <c r="G34" s="46">
        <f t="shared" si="2"/>
        <v>6115</v>
      </c>
      <c r="H34" s="46">
        <f>5750*1.02</f>
        <v>5865</v>
      </c>
    </row>
    <row r="35" spans="2:8" ht="18.75" customHeight="1">
      <c r="B35" s="456" t="s">
        <v>728</v>
      </c>
      <c r="C35" s="457">
        <v>150</v>
      </c>
      <c r="D35" s="707" t="s">
        <v>754</v>
      </c>
      <c r="E35" s="449">
        <f t="shared" ref="E35:E36" si="9">H35*1.25+250</f>
        <v>6982</v>
      </c>
      <c r="F35" s="450">
        <f t="shared" ref="F35:F36" si="10">H35*1.03+250</f>
        <v>5797.1680000000006</v>
      </c>
      <c r="G35" s="46">
        <f t="shared" ref="G35:G36" si="11">H35+250</f>
        <v>5635.6</v>
      </c>
      <c r="H35" s="46">
        <f>5280*1.02</f>
        <v>5385.6</v>
      </c>
    </row>
    <row r="36" spans="2:8" ht="21.75" customHeight="1" thickBot="1">
      <c r="B36" s="454" t="s">
        <v>729</v>
      </c>
      <c r="C36" s="455">
        <v>90</v>
      </c>
      <c r="D36" s="710" t="s">
        <v>737</v>
      </c>
      <c r="E36" s="396">
        <f t="shared" si="9"/>
        <v>5554</v>
      </c>
      <c r="F36" s="394">
        <f t="shared" si="10"/>
        <v>4620.4960000000001</v>
      </c>
      <c r="G36" s="46">
        <f t="shared" si="11"/>
        <v>4493.2</v>
      </c>
      <c r="H36" s="46">
        <f>4160*1.02</f>
        <v>4243.2</v>
      </c>
    </row>
  </sheetData>
  <customSheetViews>
    <customSheetView guid="{FBB3E572-A647-4B8C-96C7-F43FE4F7CAA8}" scale="80" showPageBreaks="1" printArea="1" hiddenColumns="1" view="pageBreakPreview">
      <pane ySplit="5" topLeftCell="A6" activePane="bottomLeft" state="frozen"/>
      <selection pane="bottomLeft" activeCell="M19" sqref="M19"/>
      <pageMargins left="1.1811023622047245" right="0.27559055118110237" top="0.39370078740157483" bottom="0.23622047244094491" header="0.31496062992125984" footer="0.19685039370078741"/>
      <pageSetup paperSize="9" scale="70" orientation="portrait" verticalDpi="0" r:id="rId1"/>
    </customSheetView>
    <customSheetView guid="{900EF7B2-0D63-4DE2-9CFC-2D2B3788802C}" scale="80" showPageBreaks="1" printArea="1" hiddenColumns="1" view="pageBreakPreview">
      <pane ySplit="5" topLeftCell="A6" activePane="bottomLeft" state="frozen"/>
      <selection pane="bottomLeft" activeCell="M19" sqref="M19"/>
      <colBreaks count="1" manualBreakCount="1">
        <brk id="6" max="35" man="1"/>
      </colBreaks>
      <pageMargins left="1.1811023622047245" right="0.27559055118110237" top="0.39370078740157483" bottom="0.23622047244094491" header="0.31496062992125984" footer="0.19685039370078741"/>
      <pageSetup paperSize="9" scale="68" orientation="portrait" verticalDpi="0" r:id="rId2"/>
    </customSheetView>
    <customSheetView guid="{CC6D6007-EFDE-464F-BD7C-A67043AC5D5C}" scale="80" showPageBreaks="1" fitToPage="1" printArea="1" hiddenColumns="1" view="pageBreakPreview">
      <pane ySplit="5" topLeftCell="A6" activePane="bottomLeft" state="frozen"/>
      <selection pane="bottomLeft" activeCell="B20" sqref="B20"/>
      <pageMargins left="1.17" right="0.27559055118110237" top="0.39370078740157483" bottom="0.23622047244094491" header="0.31496062992125984" footer="0.19685039370078741"/>
      <pageSetup paperSize="9" scale="70" orientation="landscape" verticalDpi="0" r:id="rId3"/>
    </customSheetView>
    <customSheetView guid="{C0FE86CC-5BB4-4265-957F-F51B909B3E81}" scale="80" showPageBreaks="1" fitToPage="1" printArea="1" hiddenColumns="1" view="pageBreakPreview">
      <pane ySplit="5" topLeftCell="A18" activePane="bottomLeft" state="frozen"/>
      <selection pane="bottomLeft" activeCell="B2" sqref="B2"/>
      <pageMargins left="1.1811023622047245" right="0.27559055118110237" top="0.39370078740157483" bottom="0.23622047244094491" header="0.31496062992125984" footer="0.19685039370078741"/>
      <pageSetup paperSize="9" scale="70" orientation="landscape" verticalDpi="0" r:id="rId4"/>
    </customSheetView>
  </customSheetViews>
  <mergeCells count="8">
    <mergeCell ref="B30:B32"/>
    <mergeCell ref="H3:H5"/>
    <mergeCell ref="E4:F4"/>
    <mergeCell ref="B3:B5"/>
    <mergeCell ref="C3:C5"/>
    <mergeCell ref="D3:D5"/>
    <mergeCell ref="E3:F3"/>
    <mergeCell ref="G3:G5"/>
  </mergeCells>
  <pageMargins left="1.1811023622047245" right="0.27559055118110237" top="0.39370078740157483" bottom="0.23622047244094491" header="0.31496062992125984" footer="0.19685039370078741"/>
  <pageSetup paperSize="9" scale="70" orientation="portrait" verticalDpi="0" r:id="rId5"/>
  <legacyDrawing r:id="rId6"/>
</worksheet>
</file>

<file path=xl/worksheets/sheet7.xml><?xml version="1.0" encoding="utf-8"?>
<worksheet xmlns="http://schemas.openxmlformats.org/spreadsheetml/2006/main" xmlns:r="http://schemas.openxmlformats.org/officeDocument/2006/relationships">
  <sheetPr>
    <tabColor rgb="FF00B050"/>
    <pageSetUpPr fitToPage="1"/>
  </sheetPr>
  <dimension ref="B1:L20"/>
  <sheetViews>
    <sheetView view="pageBreakPreview" zoomScaleNormal="80" zoomScaleSheetLayoutView="100" workbookViewId="0">
      <pane ySplit="5" topLeftCell="A6" activePane="bottomLeft" state="frozen"/>
      <selection pane="bottomLeft" activeCell="N14" sqref="N14"/>
    </sheetView>
  </sheetViews>
  <sheetFormatPr defaultRowHeight="15"/>
  <cols>
    <col min="1" max="1" width="0.42578125" style="1" customWidth="1"/>
    <col min="2" max="2" width="25.85546875" style="49" customWidth="1"/>
    <col min="3" max="3" width="63" style="47" customWidth="1"/>
    <col min="4" max="4" width="15" style="2" customWidth="1"/>
    <col min="5" max="5" width="23.42578125" style="2" customWidth="1"/>
    <col min="6" max="7" width="9.5703125" style="2" bestFit="1" customWidth="1"/>
    <col min="8" max="8" width="3.140625" style="7" hidden="1" customWidth="1"/>
    <col min="9" max="9" width="7.7109375" style="46" hidden="1" customWidth="1"/>
    <col min="10" max="10" width="7.42578125" style="46" hidden="1" customWidth="1"/>
    <col min="11" max="11" width="7.85546875" style="1" hidden="1" customWidth="1"/>
    <col min="12" max="12" width="7" style="1" hidden="1" customWidth="1"/>
    <col min="13" max="16384" width="9.140625" style="1"/>
  </cols>
  <sheetData>
    <row r="1" spans="2:11" ht="1.5" customHeight="1"/>
    <row r="2" spans="2:11" ht="15.75" thickBot="1">
      <c r="B2" s="321" t="s">
        <v>777</v>
      </c>
      <c r="C2" s="321"/>
      <c r="D2" s="321"/>
      <c r="E2" s="321"/>
      <c r="F2" s="321"/>
      <c r="G2" s="321"/>
    </row>
    <row r="3" spans="2:11" s="41" customFormat="1" ht="18" customHeight="1" thickBot="1">
      <c r="B3" s="1655" t="s">
        <v>39</v>
      </c>
      <c r="C3" s="1648" t="s">
        <v>52</v>
      </c>
      <c r="D3" s="1628" t="s">
        <v>664</v>
      </c>
      <c r="E3" s="1651" t="s">
        <v>16</v>
      </c>
      <c r="F3" s="1621"/>
      <c r="G3" s="1621"/>
      <c r="H3" s="39"/>
      <c r="I3" s="1610" t="s">
        <v>372</v>
      </c>
      <c r="J3" s="1610" t="s">
        <v>665</v>
      </c>
      <c r="K3" s="40"/>
    </row>
    <row r="4" spans="2:11" s="43" customFormat="1" ht="17.25">
      <c r="B4" s="1656"/>
      <c r="C4" s="1649"/>
      <c r="D4" s="1636"/>
      <c r="E4" s="1652"/>
      <c r="F4" s="1616" t="s">
        <v>933</v>
      </c>
      <c r="G4" s="1616"/>
      <c r="H4" s="42"/>
      <c r="I4" s="1610"/>
      <c r="J4" s="1610"/>
      <c r="K4" s="40"/>
    </row>
    <row r="5" spans="2:11" s="43" customFormat="1" ht="18" thickBot="1">
      <c r="B5" s="1657"/>
      <c r="C5" s="1650"/>
      <c r="D5" s="1637"/>
      <c r="E5" s="1653"/>
      <c r="F5" s="23" t="s">
        <v>17</v>
      </c>
      <c r="G5" s="23" t="s">
        <v>18</v>
      </c>
      <c r="H5" s="42"/>
      <c r="I5" s="1610"/>
      <c r="J5" s="1610"/>
      <c r="K5" s="40"/>
    </row>
    <row r="6" spans="2:11" ht="26.25" customHeight="1">
      <c r="B6" s="421" t="s">
        <v>674</v>
      </c>
      <c r="C6" s="424" t="s">
        <v>666</v>
      </c>
      <c r="D6" s="427" t="s">
        <v>689</v>
      </c>
      <c r="E6" s="430" t="s">
        <v>699</v>
      </c>
      <c r="F6" s="12">
        <f>J6*1.2+250</f>
        <v>1768.9839999999999</v>
      </c>
      <c r="G6" s="12">
        <f>J6*1.1+250</f>
        <v>1642.402</v>
      </c>
      <c r="I6" s="46">
        <f>J6+250</f>
        <v>1515.82</v>
      </c>
      <c r="J6" s="46">
        <f>1241*1.02</f>
        <v>1265.82</v>
      </c>
    </row>
    <row r="7" spans="2:11" ht="25.5" customHeight="1">
      <c r="B7" s="422" t="s">
        <v>675</v>
      </c>
      <c r="C7" s="425" t="s">
        <v>666</v>
      </c>
      <c r="D7" s="428" t="s">
        <v>690</v>
      </c>
      <c r="E7" s="431" t="s">
        <v>700</v>
      </c>
      <c r="F7" s="12">
        <f t="shared" ref="F7:F20" si="0">J7*1.2+250</f>
        <v>2089.6719999999996</v>
      </c>
      <c r="G7" s="12">
        <f t="shared" ref="G7:G20" si="1">J7*1.1+250</f>
        <v>1936.366</v>
      </c>
      <c r="I7" s="46">
        <f t="shared" ref="I7:I20" si="2">J7+250</f>
        <v>1783.06</v>
      </c>
      <c r="J7" s="46">
        <f>1503*1.02</f>
        <v>1533.06</v>
      </c>
    </row>
    <row r="8" spans="2:11" ht="22.5" customHeight="1">
      <c r="B8" s="422" t="s">
        <v>676</v>
      </c>
      <c r="C8" s="425" t="s">
        <v>666</v>
      </c>
      <c r="D8" s="428">
        <v>40</v>
      </c>
      <c r="E8" s="431" t="s">
        <v>700</v>
      </c>
      <c r="F8" s="12">
        <f t="shared" si="0"/>
        <v>2281.84</v>
      </c>
      <c r="G8" s="12">
        <f t="shared" si="1"/>
        <v>2112.5200000000004</v>
      </c>
      <c r="I8" s="46">
        <f t="shared" si="2"/>
        <v>1943.2</v>
      </c>
      <c r="J8" s="46">
        <f>1660*1.02</f>
        <v>1693.2</v>
      </c>
    </row>
    <row r="9" spans="2:11" ht="29.25" customHeight="1">
      <c r="B9" s="422" t="s">
        <v>677</v>
      </c>
      <c r="C9" s="425" t="s">
        <v>667</v>
      </c>
      <c r="D9" s="428" t="s">
        <v>691</v>
      </c>
      <c r="E9" s="431" t="s">
        <v>700</v>
      </c>
      <c r="F9" s="12">
        <f t="shared" si="0"/>
        <v>2322.232</v>
      </c>
      <c r="G9" s="12">
        <f t="shared" si="1"/>
        <v>2149.5460000000003</v>
      </c>
      <c r="I9" s="46">
        <f t="shared" si="2"/>
        <v>1976.8600000000001</v>
      </c>
      <c r="J9" s="46">
        <f>1693*1.02</f>
        <v>1726.8600000000001</v>
      </c>
    </row>
    <row r="10" spans="2:11" ht="29.25" customHeight="1">
      <c r="B10" s="422" t="s">
        <v>678</v>
      </c>
      <c r="C10" s="425" t="s">
        <v>666</v>
      </c>
      <c r="D10" s="428" t="s">
        <v>692</v>
      </c>
      <c r="E10" s="431" t="s">
        <v>700</v>
      </c>
      <c r="F10" s="12">
        <f t="shared" si="0"/>
        <v>2650.2640000000001</v>
      </c>
      <c r="G10" s="12">
        <f t="shared" si="1"/>
        <v>2450.2420000000002</v>
      </c>
      <c r="I10" s="46">
        <f t="shared" si="2"/>
        <v>2250.2200000000003</v>
      </c>
      <c r="J10" s="46">
        <f>1961*1.02</f>
        <v>2000.22</v>
      </c>
    </row>
    <row r="11" spans="2:11" ht="27.75" customHeight="1">
      <c r="B11" s="422" t="s">
        <v>679</v>
      </c>
      <c r="C11" s="425" t="s">
        <v>668</v>
      </c>
      <c r="D11" s="428">
        <v>60</v>
      </c>
      <c r="E11" s="431" t="s">
        <v>700</v>
      </c>
      <c r="F11" s="12">
        <f t="shared" si="0"/>
        <v>3451.9839999999999</v>
      </c>
      <c r="G11" s="12">
        <f t="shared" si="1"/>
        <v>3185.1520000000005</v>
      </c>
      <c r="I11" s="46">
        <f t="shared" si="2"/>
        <v>2918.32</v>
      </c>
      <c r="J11" s="46">
        <f>2616*1.02</f>
        <v>2668.32</v>
      </c>
    </row>
    <row r="12" spans="2:11" ht="27.75" customHeight="1">
      <c r="B12" s="422" t="s">
        <v>680</v>
      </c>
      <c r="C12" s="425" t="s">
        <v>668</v>
      </c>
      <c r="D12" s="428">
        <v>70</v>
      </c>
      <c r="E12" s="431" t="s">
        <v>700</v>
      </c>
      <c r="F12" s="12">
        <f t="shared" si="0"/>
        <v>3794.7040000000002</v>
      </c>
      <c r="G12" s="12">
        <f t="shared" si="1"/>
        <v>3499.3120000000004</v>
      </c>
      <c r="I12" s="46">
        <f t="shared" si="2"/>
        <v>3203.92</v>
      </c>
      <c r="J12" s="46">
        <f>2896*1.02</f>
        <v>2953.92</v>
      </c>
    </row>
    <row r="13" spans="2:11" ht="25.5" customHeight="1">
      <c r="B13" s="422" t="s">
        <v>681</v>
      </c>
      <c r="C13" s="425" t="s">
        <v>668</v>
      </c>
      <c r="D13" s="428">
        <v>80</v>
      </c>
      <c r="E13" s="431" t="s">
        <v>700</v>
      </c>
      <c r="F13" s="12">
        <f t="shared" si="0"/>
        <v>4134.9759999999997</v>
      </c>
      <c r="G13" s="12">
        <f t="shared" si="1"/>
        <v>3811.2280000000005</v>
      </c>
      <c r="I13" s="46">
        <f t="shared" si="2"/>
        <v>3487.48</v>
      </c>
      <c r="J13" s="46">
        <f>3174*1.02</f>
        <v>3237.48</v>
      </c>
    </row>
    <row r="14" spans="2:11" ht="25.5" customHeight="1">
      <c r="B14" s="422" t="s">
        <v>682</v>
      </c>
      <c r="C14" s="425" t="s">
        <v>669</v>
      </c>
      <c r="D14" s="428" t="s">
        <v>694</v>
      </c>
      <c r="E14" s="431" t="s">
        <v>701</v>
      </c>
      <c r="F14" s="12">
        <f t="shared" si="0"/>
        <v>5912.2240000000002</v>
      </c>
      <c r="G14" s="12">
        <f t="shared" si="1"/>
        <v>5440.3720000000012</v>
      </c>
      <c r="I14" s="46">
        <f t="shared" si="2"/>
        <v>4968.5200000000004</v>
      </c>
      <c r="J14" s="46">
        <f>4626*1.02</f>
        <v>4718.5200000000004</v>
      </c>
    </row>
    <row r="15" spans="2:11" ht="23.25" customHeight="1">
      <c r="B15" s="422" t="s">
        <v>683</v>
      </c>
      <c r="C15" s="425" t="s">
        <v>669</v>
      </c>
      <c r="D15" s="428">
        <v>110</v>
      </c>
      <c r="E15" s="431" t="s">
        <v>700</v>
      </c>
      <c r="F15" s="12">
        <f t="shared" si="0"/>
        <v>5366.3200000000006</v>
      </c>
      <c r="G15" s="12">
        <f t="shared" si="1"/>
        <v>4939.9600000000009</v>
      </c>
      <c r="I15" s="46">
        <f t="shared" si="2"/>
        <v>4513.6000000000004</v>
      </c>
      <c r="J15" s="46">
        <f>4180*1.02</f>
        <v>4263.6000000000004</v>
      </c>
    </row>
    <row r="16" spans="2:11" ht="23.25" customHeight="1">
      <c r="B16" s="422" t="s">
        <v>684</v>
      </c>
      <c r="C16" s="425" t="s">
        <v>669</v>
      </c>
      <c r="D16" s="428" t="s">
        <v>698</v>
      </c>
      <c r="E16" s="431" t="s">
        <v>701</v>
      </c>
      <c r="F16" s="12">
        <f t="shared" si="0"/>
        <v>3842.44</v>
      </c>
      <c r="G16" s="12">
        <f t="shared" si="1"/>
        <v>3543.0700000000006</v>
      </c>
      <c r="I16" s="46">
        <f t="shared" si="2"/>
        <v>3243.7000000000003</v>
      </c>
      <c r="J16" s="46">
        <f>2935*1.02</f>
        <v>2993.7000000000003</v>
      </c>
    </row>
    <row r="17" spans="2:10" ht="21.75" customHeight="1">
      <c r="B17" s="422" t="s">
        <v>685</v>
      </c>
      <c r="C17" s="425" t="s">
        <v>670</v>
      </c>
      <c r="D17" s="428" t="s">
        <v>695</v>
      </c>
      <c r="E17" s="431" t="s">
        <v>700</v>
      </c>
      <c r="F17" s="12">
        <f t="shared" si="0"/>
        <v>4259.8239999999996</v>
      </c>
      <c r="G17" s="12">
        <f t="shared" si="1"/>
        <v>3925.6720000000005</v>
      </c>
      <c r="I17" s="46">
        <f t="shared" si="2"/>
        <v>3591.52</v>
      </c>
      <c r="J17" s="46">
        <f>3276*1.02</f>
        <v>3341.52</v>
      </c>
    </row>
    <row r="18" spans="2:10" ht="24.75" customHeight="1">
      <c r="B18" s="422" t="s">
        <v>686</v>
      </c>
      <c r="C18" s="425" t="s">
        <v>671</v>
      </c>
      <c r="D18" s="428" t="s">
        <v>696</v>
      </c>
      <c r="E18" s="431" t="s">
        <v>702</v>
      </c>
      <c r="F18" s="12">
        <f t="shared" si="0"/>
        <v>4373.6559999999999</v>
      </c>
      <c r="G18" s="12">
        <f t="shared" si="1"/>
        <v>4030.0180000000005</v>
      </c>
      <c r="I18" s="46">
        <f t="shared" si="2"/>
        <v>3686.38</v>
      </c>
      <c r="J18" s="46">
        <f>3369*1.02</f>
        <v>3436.38</v>
      </c>
    </row>
    <row r="19" spans="2:10" ht="25.5" customHeight="1">
      <c r="B19" s="422" t="s">
        <v>687</v>
      </c>
      <c r="C19" s="425" t="s">
        <v>672</v>
      </c>
      <c r="D19" s="428" t="s">
        <v>693</v>
      </c>
      <c r="E19" s="431" t="s">
        <v>700</v>
      </c>
      <c r="F19" s="12">
        <f t="shared" si="0"/>
        <v>5956.2879999999996</v>
      </c>
      <c r="G19" s="12">
        <f t="shared" si="1"/>
        <v>5480.7640000000001</v>
      </c>
      <c r="I19" s="46">
        <f t="shared" si="2"/>
        <v>5005.24</v>
      </c>
      <c r="J19" s="46">
        <f>4662*1.02</f>
        <v>4755.24</v>
      </c>
    </row>
    <row r="20" spans="2:10" ht="24" customHeight="1" thickBot="1">
      <c r="B20" s="423" t="s">
        <v>688</v>
      </c>
      <c r="C20" s="426" t="s">
        <v>673</v>
      </c>
      <c r="D20" s="429" t="s">
        <v>697</v>
      </c>
      <c r="E20" s="432" t="s">
        <v>703</v>
      </c>
      <c r="F20" s="12">
        <f t="shared" si="0"/>
        <v>7450.7919999999995</v>
      </c>
      <c r="G20" s="12">
        <f t="shared" si="1"/>
        <v>6850.7260000000006</v>
      </c>
      <c r="I20" s="46">
        <f t="shared" si="2"/>
        <v>6250.66</v>
      </c>
      <c r="J20" s="46">
        <f>5883*1.02</f>
        <v>6000.66</v>
      </c>
    </row>
  </sheetData>
  <customSheetViews>
    <customSheetView guid="{FBB3E572-A647-4B8C-96C7-F43FE4F7CAA8}"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88" orientation="landscape" verticalDpi="0" r:id="rId1"/>
    </customSheetView>
    <customSheetView guid="{900EF7B2-0D63-4DE2-9CFC-2D2B3788802C}"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88" orientation="landscape" verticalDpi="0" r:id="rId2"/>
    </customSheetView>
    <customSheetView guid="{CC6D6007-EFDE-464F-BD7C-A67043AC5D5C}" showPageBreaks="1" fitToPage="1" printArea="1" hiddenColumns="1" view="pageBreakPreview">
      <pane ySplit="5" topLeftCell="A6" activePane="bottomLeft" state="frozen"/>
      <selection pane="bottomLeft" activeCell="B14" sqref="B14"/>
      <pageMargins left="1.17" right="0.27559055118110237" top="0.39370078740157483" bottom="0.23622047244094491" header="0.31496062992125984" footer="0.19685039370078741"/>
      <pageSetup paperSize="9" scale="88" orientation="landscape" verticalDpi="0" r:id="rId3"/>
    </customSheetView>
    <customSheetView guid="{C0FE86CC-5BB4-4265-957F-F51B909B3E81}" showPageBreaks="1" fitToPage="1" printArea="1" hiddenColumns="1" view="pageBreakPreview">
      <pane ySplit="5" topLeftCell="A6" activePane="bottomLeft" state="frozen"/>
      <selection pane="bottomLeft" activeCell="B3" sqref="B3:B5"/>
      <pageMargins left="1.17" right="0.27559055118110237" top="0.39370078740157483" bottom="0.23622047244094491" header="0.31496062992125984" footer="0.19685039370078741"/>
      <pageSetup paperSize="9" scale="88" orientation="landscape" verticalDpi="0" r:id="rId4"/>
    </customSheetView>
  </customSheetViews>
  <mergeCells count="8">
    <mergeCell ref="D3:D5"/>
    <mergeCell ref="J3:J5"/>
    <mergeCell ref="F4:G4"/>
    <mergeCell ref="B3:B5"/>
    <mergeCell ref="C3:C5"/>
    <mergeCell ref="E3:E5"/>
    <mergeCell ref="F3:G3"/>
    <mergeCell ref="I3:I5"/>
  </mergeCells>
  <pageMargins left="1.17" right="0.27559055118110237" top="0.39370078740157483" bottom="0.23622047244094491" header="0.31496062992125984" footer="0.19685039370078741"/>
  <pageSetup paperSize="9" scale="88" orientation="landscape" verticalDpi="0" r:id="rId5"/>
  <legacyDrawing r:id="rId6"/>
</worksheet>
</file>

<file path=xl/worksheets/sheet8.xml><?xml version="1.0" encoding="utf-8"?>
<worksheet xmlns="http://schemas.openxmlformats.org/spreadsheetml/2006/main" xmlns:r="http://schemas.openxmlformats.org/officeDocument/2006/relationships">
  <dimension ref="A1:S32"/>
  <sheetViews>
    <sheetView zoomScale="80" zoomScaleNormal="80" workbookViewId="0">
      <selection activeCell="P5" sqref="P5"/>
    </sheetView>
  </sheetViews>
  <sheetFormatPr defaultRowHeight="15"/>
  <cols>
    <col min="1" max="1" width="16.85546875" customWidth="1"/>
    <col min="2" max="2" width="38.85546875" customWidth="1"/>
    <col min="8" max="8" width="9.140625" customWidth="1"/>
    <col min="9" max="10" width="9.140625" hidden="1" customWidth="1"/>
    <col min="11" max="11" width="15.28515625" customWidth="1"/>
  </cols>
  <sheetData>
    <row r="1" spans="1:19" s="796" customFormat="1" ht="23.25">
      <c r="A1" s="792"/>
      <c r="B1" s="793"/>
      <c r="C1" s="793"/>
      <c r="D1" s="793"/>
      <c r="E1" s="793"/>
      <c r="F1" s="793"/>
      <c r="G1" s="793"/>
      <c r="H1" s="793"/>
      <c r="I1" s="793"/>
      <c r="J1" s="793"/>
      <c r="K1" s="793"/>
      <c r="L1" s="794"/>
      <c r="M1" s="795"/>
      <c r="N1" s="795"/>
      <c r="O1" s="795"/>
      <c r="P1" s="795"/>
      <c r="Q1" s="795"/>
      <c r="R1" s="795"/>
      <c r="S1" s="795"/>
    </row>
    <row r="2" spans="1:19" ht="33.75">
      <c r="A2" s="784"/>
      <c r="B2" s="785"/>
      <c r="C2" s="785"/>
      <c r="D2" s="785"/>
      <c r="E2" s="785"/>
      <c r="F2" s="785"/>
      <c r="G2" s="785"/>
      <c r="H2" s="811"/>
      <c r="I2" s="811"/>
      <c r="J2" s="811"/>
      <c r="K2" s="811"/>
      <c r="L2" s="812" t="s">
        <v>1033</v>
      </c>
    </row>
    <row r="3" spans="1:19" ht="3" customHeight="1">
      <c r="A3" s="786"/>
      <c r="B3" s="786"/>
      <c r="C3" s="786"/>
      <c r="D3" s="786"/>
      <c r="E3" s="786"/>
      <c r="F3" s="786"/>
      <c r="G3" s="786"/>
      <c r="H3" s="786"/>
      <c r="I3" s="797">
        <v>0.24</v>
      </c>
      <c r="J3" s="797"/>
      <c r="K3" s="810">
        <v>0</v>
      </c>
      <c r="L3" s="798"/>
    </row>
    <row r="4" spans="1:19" ht="38.25">
      <c r="A4" s="787" t="s">
        <v>1034</v>
      </c>
      <c r="B4" s="787" t="s">
        <v>1035</v>
      </c>
      <c r="C4" s="787" t="s">
        <v>1036</v>
      </c>
      <c r="D4" s="787"/>
      <c r="E4" s="787"/>
      <c r="F4" s="787" t="s">
        <v>1037</v>
      </c>
      <c r="G4" s="787"/>
      <c r="H4" s="787"/>
      <c r="I4" s="800" t="s">
        <v>1038</v>
      </c>
      <c r="J4" s="800"/>
      <c r="K4" s="801" t="s">
        <v>1039</v>
      </c>
      <c r="L4" s="801"/>
    </row>
    <row r="5" spans="1:19">
      <c r="A5" s="787"/>
      <c r="B5" s="787"/>
      <c r="C5" s="799" t="s">
        <v>1040</v>
      </c>
      <c r="D5" s="799" t="s">
        <v>1041</v>
      </c>
      <c r="E5" s="799" t="s">
        <v>1042</v>
      </c>
      <c r="F5" s="799" t="s">
        <v>21</v>
      </c>
      <c r="G5" s="799" t="s">
        <v>1</v>
      </c>
      <c r="H5" s="799" t="s">
        <v>2</v>
      </c>
      <c r="I5" s="788" t="s">
        <v>2</v>
      </c>
      <c r="J5" s="788" t="s">
        <v>1043</v>
      </c>
      <c r="K5" s="788" t="s">
        <v>2</v>
      </c>
      <c r="L5" s="788" t="s">
        <v>1043</v>
      </c>
    </row>
    <row r="6" spans="1:19" ht="176.25" customHeight="1">
      <c r="A6" s="802" t="s">
        <v>1044</v>
      </c>
      <c r="B6" s="803" t="s">
        <v>1045</v>
      </c>
      <c r="C6" s="804">
        <v>1000</v>
      </c>
      <c r="D6" s="804">
        <v>600</v>
      </c>
      <c r="E6" s="803">
        <v>50</v>
      </c>
      <c r="F6" s="803">
        <v>8</v>
      </c>
      <c r="G6" s="805">
        <f>C$7*D$7*F6/1000000</f>
        <v>4.8</v>
      </c>
      <c r="H6" s="806">
        <f>C$7*D$7*E6*F6/1000000000</f>
        <v>0.24</v>
      </c>
      <c r="I6" s="789">
        <f t="shared" ref="I6:I21" si="0">$K6*(1-I$3)</f>
        <v>1140</v>
      </c>
      <c r="J6" s="790">
        <f>I$6*$H6</f>
        <v>273.59999999999997</v>
      </c>
      <c r="K6" s="789">
        <v>1500</v>
      </c>
      <c r="L6" s="790">
        <f>K$6*$H6</f>
        <v>360</v>
      </c>
    </row>
    <row r="7" spans="1:19" ht="51.75">
      <c r="A7" s="802" t="s">
        <v>1046</v>
      </c>
      <c r="B7" s="803"/>
      <c r="C7" s="804">
        <v>1000</v>
      </c>
      <c r="D7" s="804">
        <v>600</v>
      </c>
      <c r="E7" s="803">
        <v>50</v>
      </c>
      <c r="F7" s="803">
        <v>8</v>
      </c>
      <c r="G7" s="805">
        <f>C$7*D$7*F7/1000000</f>
        <v>4.8</v>
      </c>
      <c r="H7" s="806">
        <f>C$7*D$7*E7*F7/1000000000</f>
        <v>0.24</v>
      </c>
      <c r="I7" s="789">
        <f t="shared" si="0"/>
        <v>1238.8</v>
      </c>
      <c r="J7" s="790">
        <f>I$7*$H7</f>
        <v>297.31199999999995</v>
      </c>
      <c r="K7" s="789">
        <v>1630</v>
      </c>
      <c r="L7" s="790">
        <f>K$7*$H7</f>
        <v>391.2</v>
      </c>
    </row>
    <row r="8" spans="1:19" ht="114" customHeight="1">
      <c r="A8" s="804" t="s">
        <v>1047</v>
      </c>
      <c r="B8" s="803" t="s">
        <v>1048</v>
      </c>
      <c r="C8" s="804">
        <v>1000</v>
      </c>
      <c r="D8" s="804">
        <v>600</v>
      </c>
      <c r="E8" s="803">
        <v>50</v>
      </c>
      <c r="F8" s="803">
        <v>8</v>
      </c>
      <c r="G8" s="805">
        <f t="shared" ref="G8:G9" si="1">C$8*D$8*F8/1000000</f>
        <v>4.8</v>
      </c>
      <c r="H8" s="806">
        <f t="shared" ref="H8:H9" si="2">C$8*D$8*E8*F8/1000000000</f>
        <v>0.24</v>
      </c>
      <c r="I8" s="789">
        <f t="shared" si="0"/>
        <v>1558</v>
      </c>
      <c r="J8" s="790">
        <f>I$8*$H8</f>
        <v>373.91999999999996</v>
      </c>
      <c r="K8" s="789">
        <v>2050</v>
      </c>
      <c r="L8" s="790">
        <f>K$8*$H8</f>
        <v>492</v>
      </c>
    </row>
    <row r="9" spans="1:19" ht="53.25">
      <c r="A9" s="804" t="s">
        <v>1049</v>
      </c>
      <c r="B9" s="803"/>
      <c r="C9" s="804">
        <v>1000</v>
      </c>
      <c r="D9" s="804">
        <v>600</v>
      </c>
      <c r="E9" s="803">
        <v>30</v>
      </c>
      <c r="F9" s="803">
        <v>16</v>
      </c>
      <c r="G9" s="805">
        <f t="shared" si="1"/>
        <v>9.6</v>
      </c>
      <c r="H9" s="806">
        <f t="shared" si="2"/>
        <v>0.28799999999999998</v>
      </c>
      <c r="I9" s="789">
        <f t="shared" si="0"/>
        <v>2090</v>
      </c>
      <c r="J9" s="790">
        <f>I$9*$H9</f>
        <v>601.91999999999996</v>
      </c>
      <c r="K9" s="789">
        <v>2750</v>
      </c>
      <c r="L9" s="790">
        <f>K$9*$H9</f>
        <v>791.99999999999989</v>
      </c>
    </row>
    <row r="10" spans="1:19" ht="127.5">
      <c r="A10" s="804" t="s">
        <v>1050</v>
      </c>
      <c r="B10" s="803" t="s">
        <v>1051</v>
      </c>
      <c r="C10" s="804">
        <v>1000</v>
      </c>
      <c r="D10" s="804">
        <v>600</v>
      </c>
      <c r="E10" s="803">
        <v>50</v>
      </c>
      <c r="F10" s="803">
        <v>10</v>
      </c>
      <c r="G10" s="805">
        <f t="shared" ref="G10" si="3">C$10*D$10*F10/1000000</f>
        <v>6</v>
      </c>
      <c r="H10" s="806">
        <f t="shared" ref="H10" si="4">C$10*D$10*E10*F10/1000000000</f>
        <v>0.3</v>
      </c>
      <c r="I10" s="789">
        <f t="shared" si="0"/>
        <v>1710</v>
      </c>
      <c r="J10" s="790">
        <f>I$10*$H10</f>
        <v>513</v>
      </c>
      <c r="K10" s="789">
        <v>2250</v>
      </c>
      <c r="L10" s="790">
        <f>K$10*$H10</f>
        <v>675</v>
      </c>
    </row>
    <row r="11" spans="1:19" ht="69.75" customHeight="1">
      <c r="A11" s="804" t="s">
        <v>1052</v>
      </c>
      <c r="B11" s="803" t="s">
        <v>1053</v>
      </c>
      <c r="C11" s="804">
        <v>1000</v>
      </c>
      <c r="D11" s="804">
        <v>600</v>
      </c>
      <c r="E11" s="803">
        <v>50</v>
      </c>
      <c r="F11" s="803">
        <v>4</v>
      </c>
      <c r="G11" s="805">
        <f t="shared" ref="G11" si="5">C$11*D$11*F11/1000000</f>
        <v>2.4</v>
      </c>
      <c r="H11" s="806">
        <f t="shared" ref="H11" si="6">C$11*D$11*E11*F11/1000000000</f>
        <v>0.12</v>
      </c>
      <c r="I11" s="789">
        <f t="shared" si="0"/>
        <v>4750</v>
      </c>
      <c r="J11" s="790">
        <f>I$11*$H11</f>
        <v>570</v>
      </c>
      <c r="K11" s="789">
        <v>6250</v>
      </c>
      <c r="L11" s="790">
        <f>K$11*$H11</f>
        <v>750</v>
      </c>
    </row>
    <row r="12" spans="1:19" ht="78.75" customHeight="1">
      <c r="A12" s="804" t="s">
        <v>1054</v>
      </c>
      <c r="B12" s="803"/>
      <c r="C12" s="804">
        <v>1000</v>
      </c>
      <c r="D12" s="804">
        <v>600</v>
      </c>
      <c r="E12" s="803">
        <v>50</v>
      </c>
      <c r="F12" s="803">
        <v>4</v>
      </c>
      <c r="G12" s="805">
        <f>C$14*D$14*F12/1000000</f>
        <v>2.4</v>
      </c>
      <c r="H12" s="806">
        <f>C$14*D$14*E12*F12/1000000000</f>
        <v>0.12</v>
      </c>
      <c r="I12" s="789">
        <f t="shared" si="0"/>
        <v>4256</v>
      </c>
      <c r="J12" s="790">
        <f>I$12*$H12</f>
        <v>510.71999999999997</v>
      </c>
      <c r="K12" s="789">
        <v>5600</v>
      </c>
      <c r="L12" s="790">
        <f>K$12*$H12</f>
        <v>672</v>
      </c>
    </row>
    <row r="13" spans="1:19" ht="99.75" customHeight="1">
      <c r="A13" s="804" t="s">
        <v>1055</v>
      </c>
      <c r="B13" s="803" t="s">
        <v>1056</v>
      </c>
      <c r="C13" s="804">
        <v>1000</v>
      </c>
      <c r="D13" s="804">
        <v>600</v>
      </c>
      <c r="E13" s="803">
        <v>50</v>
      </c>
      <c r="F13" s="803">
        <v>4</v>
      </c>
      <c r="G13" s="805">
        <f>C$14*D$14*F13/1000000</f>
        <v>2.4</v>
      </c>
      <c r="H13" s="806">
        <f>C$14*D$14*E13*F13/1000000000</f>
        <v>0.12</v>
      </c>
      <c r="I13" s="789">
        <f t="shared" si="0"/>
        <v>3556.8</v>
      </c>
      <c r="J13" s="790">
        <f>I$13*$H13</f>
        <v>426.81600000000003</v>
      </c>
      <c r="K13" s="789">
        <v>4680</v>
      </c>
      <c r="L13" s="790">
        <f>K$13*$H13</f>
        <v>561.6</v>
      </c>
    </row>
    <row r="14" spans="1:19" ht="53.25">
      <c r="A14" s="804" t="s">
        <v>1057</v>
      </c>
      <c r="B14" s="803"/>
      <c r="C14" s="804">
        <v>1000</v>
      </c>
      <c r="D14" s="804">
        <v>600</v>
      </c>
      <c r="E14" s="803">
        <v>50</v>
      </c>
      <c r="F14" s="803">
        <v>4</v>
      </c>
      <c r="G14" s="805">
        <f>C$14*D$14*F14/1000000</f>
        <v>2.4</v>
      </c>
      <c r="H14" s="806">
        <f>C$14*D$14*E14*F14/1000000000</f>
        <v>0.12</v>
      </c>
      <c r="I14" s="789">
        <f t="shared" si="0"/>
        <v>3192</v>
      </c>
      <c r="J14" s="790">
        <f>I$14*$H14</f>
        <v>383.03999999999996</v>
      </c>
      <c r="K14" s="789">
        <v>4200</v>
      </c>
      <c r="L14" s="790">
        <f>K$14*$H14</f>
        <v>504</v>
      </c>
    </row>
    <row r="15" spans="1:19" ht="159.75" customHeight="1">
      <c r="A15" s="804" t="s">
        <v>1058</v>
      </c>
      <c r="B15" s="803" t="s">
        <v>1059</v>
      </c>
      <c r="C15" s="804">
        <v>1000</v>
      </c>
      <c r="D15" s="804">
        <v>600</v>
      </c>
      <c r="E15" s="803">
        <v>50</v>
      </c>
      <c r="F15" s="803">
        <v>6</v>
      </c>
      <c r="G15" s="805">
        <f t="shared" ref="G15" si="7">C$15*D$15*F15/1000000</f>
        <v>3.6</v>
      </c>
      <c r="H15" s="806">
        <f t="shared" ref="H15" si="8">C$15*D$15*E15*F15/1000000000</f>
        <v>0.18</v>
      </c>
      <c r="I15" s="791">
        <f t="shared" si="0"/>
        <v>2903.2</v>
      </c>
      <c r="J15" s="790">
        <f>I$15*$H15</f>
        <v>522.57599999999991</v>
      </c>
      <c r="K15" s="791">
        <v>3820</v>
      </c>
      <c r="L15" s="790">
        <f>K$15*$H15</f>
        <v>687.6</v>
      </c>
    </row>
    <row r="16" spans="1:19" ht="94.5" customHeight="1">
      <c r="A16" s="804" t="s">
        <v>1060</v>
      </c>
      <c r="B16" s="803" t="s">
        <v>1061</v>
      </c>
      <c r="C16" s="804">
        <v>1000</v>
      </c>
      <c r="D16" s="804">
        <v>600</v>
      </c>
      <c r="E16" s="803">
        <v>50</v>
      </c>
      <c r="F16" s="803">
        <v>6</v>
      </c>
      <c r="G16" s="805">
        <f t="shared" ref="G16" si="9">C$16*D$16*F16/1000000</f>
        <v>3.6</v>
      </c>
      <c r="H16" s="806">
        <f t="shared" ref="H16" si="10">C$16*D$16*E16*F16/1000000000</f>
        <v>0.18</v>
      </c>
      <c r="I16" s="791">
        <f t="shared" si="0"/>
        <v>2622</v>
      </c>
      <c r="J16" s="790">
        <f>I$16*$H16</f>
        <v>471.96</v>
      </c>
      <c r="K16" s="807">
        <v>3450</v>
      </c>
      <c r="L16" s="790">
        <f>K$16*$H16</f>
        <v>621</v>
      </c>
    </row>
    <row r="17" spans="1:12" ht="132.75" customHeight="1">
      <c r="A17" s="804" t="s">
        <v>1062</v>
      </c>
      <c r="B17" s="803" t="s">
        <v>1063</v>
      </c>
      <c r="C17" s="804">
        <v>1000</v>
      </c>
      <c r="D17" s="804">
        <v>600</v>
      </c>
      <c r="E17" s="803">
        <v>50</v>
      </c>
      <c r="F17" s="803">
        <v>10</v>
      </c>
      <c r="G17" s="805">
        <f t="shared" ref="G17" si="11">C$17*D$17*F17/1000000</f>
        <v>6</v>
      </c>
      <c r="H17" s="806">
        <f t="shared" ref="H17" si="12">C$17*D$17*E17*F17/1000000000</f>
        <v>0.3</v>
      </c>
      <c r="I17" s="789">
        <f t="shared" si="0"/>
        <v>1390.8</v>
      </c>
      <c r="J17" s="790">
        <f>I$17*$H17</f>
        <v>417.23999999999995</v>
      </c>
      <c r="K17" s="808">
        <v>1830</v>
      </c>
      <c r="L17" s="790">
        <f>K$17*$H17</f>
        <v>549</v>
      </c>
    </row>
    <row r="18" spans="1:12" ht="90" customHeight="1">
      <c r="A18" s="804" t="s">
        <v>1064</v>
      </c>
      <c r="B18" s="803" t="s">
        <v>1065</v>
      </c>
      <c r="C18" s="804">
        <v>1000</v>
      </c>
      <c r="D18" s="804">
        <v>600</v>
      </c>
      <c r="E18" s="803">
        <v>50</v>
      </c>
      <c r="F18" s="803">
        <v>4</v>
      </c>
      <c r="G18" s="805">
        <f t="shared" ref="G18" si="13">C$18*D$18*F18/1000000</f>
        <v>2.4</v>
      </c>
      <c r="H18" s="806">
        <f t="shared" ref="H18" si="14">C$18*D$18*E18*F18/1000000000</f>
        <v>0.12</v>
      </c>
      <c r="I18" s="791">
        <f t="shared" si="0"/>
        <v>4484</v>
      </c>
      <c r="J18" s="790">
        <f>I$18*$H18</f>
        <v>538.07999999999993</v>
      </c>
      <c r="K18" s="789">
        <v>5900</v>
      </c>
      <c r="L18" s="790">
        <f>K$18*$H18</f>
        <v>708</v>
      </c>
    </row>
    <row r="19" spans="1:12" ht="78" customHeight="1">
      <c r="A19" s="804" t="s">
        <v>1066</v>
      </c>
      <c r="B19" s="803" t="s">
        <v>1067</v>
      </c>
      <c r="C19" s="804">
        <v>1000</v>
      </c>
      <c r="D19" s="804">
        <v>600</v>
      </c>
      <c r="E19" s="803">
        <v>50</v>
      </c>
      <c r="F19" s="803">
        <v>5</v>
      </c>
      <c r="G19" s="805">
        <f t="shared" ref="G19" si="15">C$19*D$19*F19/1000000</f>
        <v>3</v>
      </c>
      <c r="H19" s="806">
        <f t="shared" ref="H19" si="16">C$19*D$19*E19*F19/1000000000</f>
        <v>0.15</v>
      </c>
      <c r="I19" s="791">
        <f t="shared" si="0"/>
        <v>3648</v>
      </c>
      <c r="J19" s="790">
        <f>I$19*$H19</f>
        <v>547.19999999999993</v>
      </c>
      <c r="K19" s="791">
        <v>4800</v>
      </c>
      <c r="L19" s="790">
        <f>K$19*$H19</f>
        <v>720</v>
      </c>
    </row>
    <row r="20" spans="1:12" ht="67.5" customHeight="1">
      <c r="A20" s="804" t="s">
        <v>1068</v>
      </c>
      <c r="B20" s="803"/>
      <c r="C20" s="804">
        <v>1000</v>
      </c>
      <c r="D20" s="804">
        <v>600</v>
      </c>
      <c r="E20" s="803">
        <v>50</v>
      </c>
      <c r="F20" s="803">
        <v>5</v>
      </c>
      <c r="G20" s="805">
        <f t="shared" ref="G20" si="17">C$20*D$20*F20/1000000</f>
        <v>3</v>
      </c>
      <c r="H20" s="806">
        <f t="shared" ref="H20" si="18">C$20*D$20*E20*F20/1000000000</f>
        <v>0.15</v>
      </c>
      <c r="I20" s="791">
        <f t="shared" si="0"/>
        <v>3230</v>
      </c>
      <c r="J20" s="790">
        <f>I$20*$H20</f>
        <v>484.5</v>
      </c>
      <c r="K20" s="789">
        <v>4250</v>
      </c>
      <c r="L20" s="790">
        <f>K$20*$H20</f>
        <v>637.5</v>
      </c>
    </row>
    <row r="21" spans="1:12" ht="82.5" customHeight="1">
      <c r="A21" s="804" t="s">
        <v>1069</v>
      </c>
      <c r="B21" s="803" t="s">
        <v>1070</v>
      </c>
      <c r="C21" s="804">
        <v>1000</v>
      </c>
      <c r="D21" s="804">
        <v>600</v>
      </c>
      <c r="E21" s="803">
        <v>40</v>
      </c>
      <c r="F21" s="803">
        <v>4</v>
      </c>
      <c r="G21" s="803">
        <f>C$21*D$21*F21/1000000</f>
        <v>2.4</v>
      </c>
      <c r="H21" s="806">
        <f>C$21*D$21*E21*F21/1000000000</f>
        <v>9.6000000000000002E-2</v>
      </c>
      <c r="I21" s="791">
        <f t="shared" si="0"/>
        <v>6026.8</v>
      </c>
      <c r="J21" s="790">
        <f>I$21*$H21</f>
        <v>578.57280000000003</v>
      </c>
      <c r="K21" s="791">
        <v>7930</v>
      </c>
      <c r="L21" s="790">
        <f>K$21*$H21</f>
        <v>761.28</v>
      </c>
    </row>
    <row r="22" spans="1:12" ht="15.75">
      <c r="A22" s="804"/>
      <c r="B22" s="803"/>
      <c r="C22" s="804"/>
      <c r="D22" s="804"/>
      <c r="E22" s="803">
        <v>50</v>
      </c>
      <c r="F22" s="803">
        <v>3</v>
      </c>
      <c r="G22" s="803">
        <f>C$21*D$21*F22/1000000</f>
        <v>1.8</v>
      </c>
      <c r="H22" s="806">
        <f>C$21*D$21*E22*F22/1000000000</f>
        <v>0.09</v>
      </c>
      <c r="I22" s="791"/>
      <c r="J22" s="790">
        <f>I$21*$H22</f>
        <v>542.41200000000003</v>
      </c>
      <c r="K22" s="791"/>
      <c r="L22" s="790">
        <f>K$21*$H22</f>
        <v>713.69999999999993</v>
      </c>
    </row>
    <row r="23" spans="1:12" ht="35.25">
      <c r="A23" s="804" t="s">
        <v>1071</v>
      </c>
      <c r="B23" s="803"/>
      <c r="C23" s="804">
        <v>1000</v>
      </c>
      <c r="D23" s="804">
        <v>600</v>
      </c>
      <c r="E23" s="803">
        <v>40</v>
      </c>
      <c r="F23" s="803">
        <v>4</v>
      </c>
      <c r="G23" s="803">
        <f>C$25*D$25*F23/1000000</f>
        <v>2.4</v>
      </c>
      <c r="H23" s="806">
        <f>C$25*D$25*E23*F23/1000000000</f>
        <v>9.6000000000000002E-2</v>
      </c>
      <c r="I23" s="791">
        <f>$K23*(1-I$3)</f>
        <v>5662</v>
      </c>
      <c r="J23" s="790">
        <f>I$23*$H23</f>
        <v>543.55200000000002</v>
      </c>
      <c r="K23" s="789">
        <v>7450</v>
      </c>
      <c r="L23" s="790">
        <f>K$23*$H23</f>
        <v>715.2</v>
      </c>
    </row>
    <row r="24" spans="1:12" ht="15.75">
      <c r="A24" s="804"/>
      <c r="B24" s="803"/>
      <c r="C24" s="804"/>
      <c r="D24" s="804"/>
      <c r="E24" s="803">
        <v>50</v>
      </c>
      <c r="F24" s="803">
        <v>3</v>
      </c>
      <c r="G24" s="803">
        <f>C$25*D$25*F24/1000000</f>
        <v>1.8</v>
      </c>
      <c r="H24" s="806">
        <f>C$25*D$25*E24*F24/1000000000</f>
        <v>0.09</v>
      </c>
      <c r="I24" s="791"/>
      <c r="J24" s="790">
        <f>I$23*$H24</f>
        <v>509.58</v>
      </c>
      <c r="K24" s="789"/>
      <c r="L24" s="790">
        <f>K$23*$H24</f>
        <v>670.5</v>
      </c>
    </row>
    <row r="25" spans="1:12" ht="35.25">
      <c r="A25" s="804" t="s">
        <v>1072</v>
      </c>
      <c r="B25" s="803"/>
      <c r="C25" s="804">
        <v>1000</v>
      </c>
      <c r="D25" s="804">
        <v>600</v>
      </c>
      <c r="E25" s="803">
        <v>40</v>
      </c>
      <c r="F25" s="803">
        <v>4</v>
      </c>
      <c r="G25" s="803">
        <f>C$25*D$25*F25/1000000</f>
        <v>2.4</v>
      </c>
      <c r="H25" s="806">
        <f>C$25*D$25*E25*F25/1000000000</f>
        <v>9.6000000000000002E-2</v>
      </c>
      <c r="I25" s="791">
        <f>$K25*(1-I$3)</f>
        <v>5168</v>
      </c>
      <c r="J25" s="790">
        <f>I$25*$H25</f>
        <v>496.12799999999999</v>
      </c>
      <c r="K25" s="789">
        <v>6800</v>
      </c>
      <c r="L25" s="790">
        <f>K$25*$H25</f>
        <v>652.80000000000007</v>
      </c>
    </row>
    <row r="26" spans="1:12" ht="15.75">
      <c r="A26" s="804"/>
      <c r="B26" s="803"/>
      <c r="C26" s="804"/>
      <c r="D26" s="804"/>
      <c r="E26" s="803">
        <v>50</v>
      </c>
      <c r="F26" s="803">
        <v>3</v>
      </c>
      <c r="G26" s="803">
        <f>C$25*D$25*F26/1000000</f>
        <v>1.8</v>
      </c>
      <c r="H26" s="806">
        <f>C$25*D$25*E26*F26/1000000000</f>
        <v>0.09</v>
      </c>
      <c r="I26" s="791"/>
      <c r="J26" s="790">
        <f>I$25*$H26</f>
        <v>465.12</v>
      </c>
      <c r="K26" s="789"/>
      <c r="L26" s="790">
        <f>K$25*$H26</f>
        <v>612</v>
      </c>
    </row>
    <row r="27" spans="1:12" ht="97.5" customHeight="1">
      <c r="A27" s="804" t="s">
        <v>1073</v>
      </c>
      <c r="B27" s="803" t="s">
        <v>1074</v>
      </c>
      <c r="C27" s="804">
        <v>1000</v>
      </c>
      <c r="D27" s="804">
        <v>600</v>
      </c>
      <c r="E27" s="803">
        <v>50</v>
      </c>
      <c r="F27" s="803">
        <v>4</v>
      </c>
      <c r="G27" s="803">
        <f t="shared" ref="G27" si="19">C$27*D$27*F27/1000000</f>
        <v>2.4</v>
      </c>
      <c r="H27" s="806">
        <f t="shared" ref="H27" si="20">C$27*D$27*E27*F27/1000000000</f>
        <v>0.12</v>
      </c>
      <c r="I27" s="791">
        <f t="shared" ref="I27:I32" si="21">$K27*(1-I$3)</f>
        <v>5396</v>
      </c>
      <c r="J27" s="790">
        <f>I$27*$H27</f>
        <v>647.52</v>
      </c>
      <c r="K27" s="789">
        <v>7100</v>
      </c>
      <c r="L27" s="790">
        <f>K$27*$H27</f>
        <v>852</v>
      </c>
    </row>
    <row r="28" spans="1:12" ht="93.75" customHeight="1">
      <c r="A28" s="804" t="s">
        <v>1075</v>
      </c>
      <c r="B28" s="803" t="s">
        <v>1076</v>
      </c>
      <c r="C28" s="804">
        <v>1000</v>
      </c>
      <c r="D28" s="804">
        <v>600</v>
      </c>
      <c r="E28" s="803">
        <v>50</v>
      </c>
      <c r="F28" s="803">
        <v>4</v>
      </c>
      <c r="G28" s="803">
        <f t="shared" ref="G28" si="22">C$28*D$28*F28/1000000</f>
        <v>2.4</v>
      </c>
      <c r="H28" s="806">
        <f t="shared" ref="H28" si="23">C$28*D$28*E28*F28/1000000000</f>
        <v>0.12</v>
      </c>
      <c r="I28" s="791">
        <f t="shared" si="21"/>
        <v>3534</v>
      </c>
      <c r="J28" s="790">
        <f>I$28*$H28</f>
        <v>424.08</v>
      </c>
      <c r="K28" s="789">
        <v>4650</v>
      </c>
      <c r="L28" s="790">
        <f>K$28*$H28</f>
        <v>558</v>
      </c>
    </row>
    <row r="29" spans="1:12" ht="89.25" customHeight="1">
      <c r="A29" s="804" t="s">
        <v>1077</v>
      </c>
      <c r="B29" s="809" t="s">
        <v>1078</v>
      </c>
      <c r="C29" s="804">
        <v>1000</v>
      </c>
      <c r="D29" s="804">
        <v>600</v>
      </c>
      <c r="E29" s="803">
        <v>50</v>
      </c>
      <c r="F29" s="803">
        <v>5</v>
      </c>
      <c r="G29" s="805">
        <f t="shared" ref="G29" si="24">C$29*D$29*F29/1000000</f>
        <v>3</v>
      </c>
      <c r="H29" s="806">
        <f t="shared" ref="H29" si="25">C$29*D$29*E29*F29/1000000000</f>
        <v>0.15</v>
      </c>
      <c r="I29" s="789">
        <f t="shared" si="21"/>
        <v>3192</v>
      </c>
      <c r="J29" s="790">
        <f>I$29*$H29</f>
        <v>478.79999999999995</v>
      </c>
      <c r="K29" s="789">
        <v>4200</v>
      </c>
      <c r="L29" s="790">
        <f>K$29*$H29</f>
        <v>630</v>
      </c>
    </row>
    <row r="30" spans="1:12" ht="250.5" customHeight="1">
      <c r="A30" s="804" t="s">
        <v>1079</v>
      </c>
      <c r="B30" s="809" t="s">
        <v>1080</v>
      </c>
      <c r="C30" s="804">
        <v>1000</v>
      </c>
      <c r="D30" s="804">
        <v>600</v>
      </c>
      <c r="E30" s="803">
        <v>50</v>
      </c>
      <c r="F30" s="803">
        <v>5</v>
      </c>
      <c r="G30" s="805">
        <f t="shared" ref="G30" si="26">C$30*D$30*F30/1000000</f>
        <v>3</v>
      </c>
      <c r="H30" s="806">
        <f t="shared" ref="H30" si="27">C$30*D$30*E30*F30/1000000000</f>
        <v>0.15</v>
      </c>
      <c r="I30" s="789">
        <f t="shared" si="21"/>
        <v>5396</v>
      </c>
      <c r="J30" s="790">
        <f>I$30*$H30</f>
        <v>809.4</v>
      </c>
      <c r="K30" s="789">
        <v>7100</v>
      </c>
      <c r="L30" s="790">
        <f>K$30*$H30</f>
        <v>1065</v>
      </c>
    </row>
    <row r="31" spans="1:12" ht="90" customHeight="1">
      <c r="A31" s="804" t="s">
        <v>1081</v>
      </c>
      <c r="B31" s="809"/>
      <c r="C31" s="804">
        <v>1000</v>
      </c>
      <c r="D31" s="804">
        <v>600</v>
      </c>
      <c r="E31" s="803">
        <v>50</v>
      </c>
      <c r="F31" s="803">
        <v>5</v>
      </c>
      <c r="G31" s="805">
        <f t="shared" ref="G31" si="28">C$31*D$31*F31/1000000</f>
        <v>3</v>
      </c>
      <c r="H31" s="806">
        <f t="shared" ref="H31" si="29">C$31*D$31*E31*F31/1000000000</f>
        <v>0.15</v>
      </c>
      <c r="I31" s="789">
        <f t="shared" si="21"/>
        <v>4256</v>
      </c>
      <c r="J31" s="790">
        <f>I$31*$H31</f>
        <v>638.4</v>
      </c>
      <c r="K31" s="789">
        <v>5600</v>
      </c>
      <c r="L31" s="790">
        <f>K$31*$H31</f>
        <v>840</v>
      </c>
    </row>
    <row r="32" spans="1:12" ht="120" customHeight="1">
      <c r="A32" s="804" t="s">
        <v>1082</v>
      </c>
      <c r="B32" s="809" t="s">
        <v>1083</v>
      </c>
      <c r="C32" s="804">
        <v>1000</v>
      </c>
      <c r="D32" s="804">
        <v>600</v>
      </c>
      <c r="E32" s="803">
        <v>50</v>
      </c>
      <c r="F32" s="803">
        <v>5</v>
      </c>
      <c r="G32" s="805">
        <f>C$32*D$32*F32/1000000</f>
        <v>3</v>
      </c>
      <c r="H32" s="806">
        <f>C$32*D$32*E32*F32/1000000000</f>
        <v>0.15</v>
      </c>
      <c r="I32" s="789">
        <f t="shared" si="21"/>
        <v>2090</v>
      </c>
      <c r="J32" s="790">
        <f>I$32*$H32</f>
        <v>313.5</v>
      </c>
      <c r="K32" s="789">
        <v>2750</v>
      </c>
      <c r="L32" s="790">
        <f>K$32*$H32</f>
        <v>412.5</v>
      </c>
    </row>
  </sheetData>
  <customSheetViews>
    <customSheetView guid="{FBB3E572-A647-4B8C-96C7-F43FE4F7CAA8}" scale="80" showPageBreaks="1" hiddenColumns="1">
      <selection activeCell="P5" sqref="P5"/>
      <pageMargins left="0.70866141732283472" right="0.70866141732283472" top="0.74803149606299213" bottom="0.74803149606299213" header="0.31496062992125984" footer="0.31496062992125984"/>
      <pageSetup paperSize="9" scale="75" orientation="landscape" horizontalDpi="0" verticalDpi="0" r:id="rId1"/>
    </customSheetView>
    <customSheetView guid="{900EF7B2-0D63-4DE2-9CFC-2D2B3788802C}" scale="80" hiddenColumns="1">
      <selection activeCell="P5" sqref="P5"/>
      <pageMargins left="0.70866141732283472" right="0.70866141732283472" top="0.74803149606299213" bottom="0.74803149606299213" header="0.31496062992125984" footer="0.31496062992125984"/>
      <pageSetup paperSize="9" scale="75" orientation="landscape" horizontalDpi="0" verticalDpi="0" r:id="rId2"/>
    </customSheetView>
    <customSheetView guid="{CC6D6007-EFDE-464F-BD7C-A67043AC5D5C}" scale="80" hiddenColumns="1">
      <selection activeCell="P28" sqref="P28"/>
      <pageMargins left="0.7" right="0.7" top="0.75" bottom="0.75" header="0.3" footer="0.3"/>
      <pageSetup paperSize="9" orientation="portrait" horizontalDpi="0" verticalDpi="0" r:id="rId3"/>
    </customSheetView>
    <customSheetView guid="{C0FE86CC-5BB4-4265-957F-F51B909B3E81}" scale="80" showPageBreaks="1" hiddenRows="1" hiddenColumns="1">
      <selection activeCell="A4" sqref="A4:L32"/>
      <pageMargins left="0.70866141732283472" right="0.70866141732283472" top="0.74803149606299213" bottom="0.74803149606299213" header="0.31496062992125984" footer="0.31496062992125984"/>
      <pageSetup paperSize="9" scale="75" orientation="portrait" verticalDpi="0" r:id="rId4"/>
    </customSheetView>
  </customSheetViews>
  <pageMargins left="0.70866141732283472" right="0.70866141732283472" top="0.74803149606299213" bottom="0.74803149606299213" header="0.31496062992125984" footer="0.31496062992125984"/>
  <pageSetup paperSize="9" scale="75" orientation="landscape" horizontalDpi="0" verticalDpi="0" r:id="rId5"/>
</worksheet>
</file>

<file path=xl/worksheets/sheet9.xml><?xml version="1.0" encoding="utf-8"?>
<worksheet xmlns="http://schemas.openxmlformats.org/spreadsheetml/2006/main" xmlns:r="http://schemas.openxmlformats.org/officeDocument/2006/relationships">
  <dimension ref="A1:D7"/>
  <sheetViews>
    <sheetView workbookViewId="0">
      <selection activeCell="I23" sqref="I23"/>
    </sheetView>
  </sheetViews>
  <sheetFormatPr defaultRowHeight="15"/>
  <cols>
    <col min="1" max="1" width="67.28515625" customWidth="1"/>
    <col min="2" max="2" width="10.42578125" customWidth="1"/>
    <col min="3" max="3" width="2" hidden="1" customWidth="1"/>
    <col min="4" max="4" width="10.140625" customWidth="1"/>
  </cols>
  <sheetData>
    <row r="1" spans="1:4" ht="29.25" customHeight="1" thickBot="1">
      <c r="A1" s="879" t="s">
        <v>1013</v>
      </c>
      <c r="B1" s="879"/>
      <c r="C1" s="879"/>
      <c r="D1" s="879"/>
    </row>
    <row r="2" spans="1:4" ht="30" customHeight="1" thickBot="1">
      <c r="A2" s="878" t="s">
        <v>1123</v>
      </c>
      <c r="B2" s="877" t="s">
        <v>1122</v>
      </c>
      <c r="C2" s="570"/>
      <c r="D2" s="876" t="s">
        <v>1015</v>
      </c>
    </row>
    <row r="3" spans="1:4" ht="33" customHeight="1">
      <c r="A3" s="865" t="s">
        <v>1104</v>
      </c>
      <c r="B3" s="866" t="s">
        <v>1017</v>
      </c>
      <c r="C3" s="873">
        <v>1092</v>
      </c>
      <c r="D3" s="779">
        <f>C3*1.2</f>
        <v>1310.3999999999999</v>
      </c>
    </row>
    <row r="4" spans="1:4" ht="33" customHeight="1">
      <c r="A4" s="859" t="s">
        <v>1105</v>
      </c>
      <c r="B4" s="860" t="s">
        <v>1017</v>
      </c>
      <c r="C4" s="874">
        <v>1092</v>
      </c>
      <c r="D4" s="780">
        <f>C4*1.2</f>
        <v>1310.3999999999999</v>
      </c>
    </row>
    <row r="5" spans="1:4" ht="33" customHeight="1">
      <c r="A5" s="859" t="s">
        <v>1106</v>
      </c>
      <c r="B5" s="860" t="s">
        <v>1017</v>
      </c>
      <c r="C5" s="874">
        <v>1065</v>
      </c>
      <c r="D5" s="780">
        <f>C5*1.2</f>
        <v>1278</v>
      </c>
    </row>
    <row r="6" spans="1:4" ht="33" customHeight="1">
      <c r="A6" s="859" t="s">
        <v>1107</v>
      </c>
      <c r="B6" s="860" t="s">
        <v>1017</v>
      </c>
      <c r="C6" s="874">
        <v>1040</v>
      </c>
      <c r="D6" s="780">
        <f>C6*1.2</f>
        <v>1248</v>
      </c>
    </row>
    <row r="7" spans="1:4" ht="33" customHeight="1" thickBot="1">
      <c r="A7" s="862" t="s">
        <v>1108</v>
      </c>
      <c r="B7" s="863" t="s">
        <v>1017</v>
      </c>
      <c r="C7" s="875">
        <v>1040</v>
      </c>
      <c r="D7" s="781">
        <f>C7*1.2</f>
        <v>1248</v>
      </c>
    </row>
  </sheetData>
  <customSheetViews>
    <customSheetView guid="{FBB3E572-A647-4B8C-96C7-F43FE4F7CAA8}" hiddenColumns="1">
      <selection activeCell="I23" sqref="I23"/>
      <pageMargins left="0.7" right="0.7" top="0.75" bottom="0.75" header="0.3" footer="0.3"/>
    </customSheetView>
    <customSheetView guid="{900EF7B2-0D63-4DE2-9CFC-2D2B3788802C}" hiddenColumns="1">
      <selection sqref="A1:D1"/>
      <pageMargins left="0.7" right="0.7" top="0.75" bottom="0.75" header="0.3" footer="0.3"/>
    </customSheetView>
    <customSheetView guid="{CC6D6007-EFDE-464F-BD7C-A67043AC5D5C}" hiddenColumns="1">
      <selection activeCell="G10" sqref="G10"/>
      <pageMargins left="0.7" right="0.7" top="0.75" bottom="0.75" header="0.3" footer="0.3"/>
    </customSheetView>
    <customSheetView guid="{C0FE86CC-5BB4-4265-957F-F51B909B3E81}" hiddenColumns="1">
      <selection sqref="A1:D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14</vt:i4>
      </vt:variant>
    </vt:vector>
  </HeadingPairs>
  <TitlesOfParts>
    <vt:vector size="61" baseType="lpstr">
      <vt:lpstr>ЦЕНТР-ТИМ</vt:lpstr>
      <vt:lpstr>DoorHan</vt:lpstr>
      <vt:lpstr>HotRock</vt:lpstr>
      <vt:lpstr>ISOROC</vt:lpstr>
      <vt:lpstr>IZOVOL</vt:lpstr>
      <vt:lpstr>ROCKWOOL</vt:lpstr>
      <vt:lpstr>техноНИКОЛЬ</vt:lpstr>
      <vt:lpstr>Differo МИНПЛИТА</vt:lpstr>
      <vt:lpstr>PAROC</vt:lpstr>
      <vt:lpstr>ГКЛ Даногипс,ГИПРОК</vt:lpstr>
      <vt:lpstr>профили ГКЛ</vt:lpstr>
      <vt:lpstr>профили НВФ</vt:lpstr>
      <vt:lpstr>ИЗМ'ИЗО'ИЗТ</vt:lpstr>
      <vt:lpstr>плёнки'всп.п-эн</vt:lpstr>
      <vt:lpstr>рубероид</vt:lpstr>
      <vt:lpstr>ПСБ'XPS</vt:lpstr>
      <vt:lpstr>смеси'грунтовки</vt:lpstr>
      <vt:lpstr>docke</vt:lpstr>
      <vt:lpstr>мастики'битумы</vt:lpstr>
      <vt:lpstr>Техно Николь Рулонка,ПРАЙМЕР, </vt:lpstr>
      <vt:lpstr>ЦЕМЕНТ</vt:lpstr>
      <vt:lpstr>КНАУФ ГКЛ, профиля ,смеси</vt:lpstr>
      <vt:lpstr>УРСА КНАУФ(рулонка)</vt:lpstr>
      <vt:lpstr>OSB,ФАНЕРА,ПОЛИКАРБОНАТ</vt:lpstr>
      <vt:lpstr>Водосток 0,45 (по Складской)</vt:lpstr>
      <vt:lpstr>МеталлоЧерепица,Сайдинг,Профлис</vt:lpstr>
      <vt:lpstr>ГЧ ДЕКЕ</vt:lpstr>
      <vt:lpstr>Кровельная Вентиляция ДЕКЕ</vt:lpstr>
      <vt:lpstr>Сайдинг, Софиты, Доборка</vt:lpstr>
      <vt:lpstr>Фасадные Панели ДЕКЕ</vt:lpstr>
      <vt:lpstr>Водосточная Система ДЕКЕ</vt:lpstr>
      <vt:lpstr>Гранд Лайн Сайдинг и Доборка</vt:lpstr>
      <vt:lpstr>МЕТАЛЛ</vt:lpstr>
      <vt:lpstr>ВОКС</vt:lpstr>
      <vt:lpstr>Гран Лайн Я Фасад ТМО</vt:lpstr>
      <vt:lpstr>МЧ и Доборка ДЕКЕ</vt:lpstr>
      <vt:lpstr>Кровельная Вент ДЕКЕ</vt:lpstr>
      <vt:lpstr>Вентиляция Кровел ДЕКЕ</vt:lpstr>
      <vt:lpstr>Сайдинг LUX (Вудслайт) </vt:lpstr>
      <vt:lpstr>Сайдинг PREMIUM, STANDARD</vt:lpstr>
      <vt:lpstr>Водосток LUX (обновленный)</vt:lpstr>
      <vt:lpstr>Водосток PREMIUM (обновленный)</vt:lpstr>
      <vt:lpstr>Водосток STANDARD (обновленный)</vt:lpstr>
      <vt:lpstr>Фасадные Панели ДЕКЕ (новый)</vt:lpstr>
      <vt:lpstr>Чердач Лестницы ДЕКЕ</vt:lpstr>
      <vt:lpstr>ФИБРА + АРМАТУРА СТЕКЛО</vt:lpstr>
      <vt:lpstr>СМЕСИ ФОРММАТЕРИАЛЫ 999</vt:lpstr>
      <vt:lpstr>docke!Область_печати</vt:lpstr>
      <vt:lpstr>HotRock!Область_печати</vt:lpstr>
      <vt:lpstr>ISOROC!Область_печати</vt:lpstr>
      <vt:lpstr>IZOVOL!Область_печати</vt:lpstr>
      <vt:lpstr>ROCKWOOL!Область_печати</vt:lpstr>
      <vt:lpstr>'ГКЛ Даногипс,ГИПРОК'!Область_печати</vt:lpstr>
      <vt:lpstr>'плёнки''всп.п-эн'!Область_печати</vt:lpstr>
      <vt:lpstr>'профили ГКЛ'!Область_печати</vt:lpstr>
      <vt:lpstr>'профили НВФ'!Область_печати</vt:lpstr>
      <vt:lpstr>'ПСБ''XPS'!Область_печати</vt:lpstr>
      <vt:lpstr>рубероид!Область_печати</vt:lpstr>
      <vt:lpstr>'смеси''грунтовки'!Область_печати</vt:lpstr>
      <vt:lpstr>техноНИКОЛЬ!Область_печати</vt:lpstr>
      <vt:lpstr>'ЦЕНТР-ТИМ'!Область_печати</vt:lpstr>
    </vt:vector>
  </TitlesOfParts>
  <Company>RePack by SPecialiST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База</dc:title>
  <dc:subject>прайсы</dc:subject>
  <dc:creator>pas</dc:creator>
  <cp:keywords>тепло, гидро, шумо - изоляция</cp:keywords>
  <cp:lastModifiedBy>Пользователь</cp:lastModifiedBy>
  <cp:lastPrinted>2019-05-03T13:14:17Z</cp:lastPrinted>
  <dcterms:created xsi:type="dcterms:W3CDTF">2018-01-16T09:25:07Z</dcterms:created>
  <dcterms:modified xsi:type="dcterms:W3CDTF">2019-06-17T14:18:15Z</dcterms:modified>
  <cp:contentStatus>рабочий</cp:contentStatus>
</cp:coreProperties>
</file>